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workbookProtection workbookAlgorithmName="SHA-512" workbookHashValue="xGsd8y9Kqf6rhtAPoywm9+6k85Z7LIsqXJbXbp6BNN2CBUp3+qJ5JV3N2AFIywCdqtQgcwhUDElP1M4lsUUWKA==" workbookSaltValue="u5e16cmonZy0K3tsuKOscQ==" workbookSpinCount="100000" lockStructure="1"/>
  <bookViews>
    <workbookView xWindow="0" yWindow="0" windowWidth="23595" windowHeight="10590"/>
  </bookViews>
  <sheets>
    <sheet name="งปม.แผ่นดิน" sheetId="1" r:id="rId1"/>
    <sheet name="งปม.รายได้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H39" i="2" s="1"/>
  <c r="F38" i="2"/>
  <c r="G38" i="2" s="1"/>
  <c r="F37" i="2"/>
  <c r="G37" i="2" s="1"/>
  <c r="F36" i="2"/>
  <c r="C36" i="2"/>
  <c r="F35" i="2"/>
  <c r="H35" i="2" s="1"/>
  <c r="F34" i="2"/>
  <c r="H34" i="2" s="1"/>
  <c r="C34" i="2"/>
  <c r="F33" i="2"/>
  <c r="C33" i="2"/>
  <c r="C1" i="2" s="1"/>
  <c r="F32" i="2"/>
  <c r="H32" i="2" s="1"/>
  <c r="H31" i="2"/>
  <c r="G31" i="2"/>
  <c r="H30" i="2"/>
  <c r="G30" i="2"/>
  <c r="F30" i="2"/>
  <c r="F29" i="2"/>
  <c r="H29" i="2" s="1"/>
  <c r="F28" i="2"/>
  <c r="G28" i="2" s="1"/>
  <c r="F27" i="2"/>
  <c r="G27" i="2" s="1"/>
  <c r="F26" i="2"/>
  <c r="G26" i="2" s="1"/>
  <c r="F25" i="2"/>
  <c r="H25" i="2" s="1"/>
  <c r="F24" i="2"/>
  <c r="G24" i="2" s="1"/>
  <c r="F23" i="2"/>
  <c r="G23" i="2" s="1"/>
  <c r="H22" i="2"/>
  <c r="D22" i="2"/>
  <c r="G22" i="2" s="1"/>
  <c r="F21" i="2"/>
  <c r="H21" i="2" s="1"/>
  <c r="F20" i="2"/>
  <c r="H20" i="2" s="1"/>
  <c r="E20" i="2"/>
  <c r="F19" i="2"/>
  <c r="G19" i="2" s="1"/>
  <c r="F18" i="2"/>
  <c r="H18" i="2" s="1"/>
  <c r="E18" i="2"/>
  <c r="F17" i="2"/>
  <c r="G17" i="2" s="1"/>
  <c r="F16" i="2"/>
  <c r="H16" i="2" s="1"/>
  <c r="E16" i="2"/>
  <c r="D16" i="2"/>
  <c r="F15" i="2"/>
  <c r="G15" i="2" s="1"/>
  <c r="H14" i="2"/>
  <c r="F14" i="2"/>
  <c r="G14" i="2" s="1"/>
  <c r="F13" i="2"/>
  <c r="H13" i="2" s="1"/>
  <c r="F12" i="2"/>
  <c r="G12" i="2" s="1"/>
  <c r="F11" i="2"/>
  <c r="H11" i="2" s="1"/>
  <c r="D11" i="2"/>
  <c r="G11" i="2" s="1"/>
  <c r="F10" i="2"/>
  <c r="H10" i="2" s="1"/>
  <c r="D10" i="2"/>
  <c r="F9" i="2"/>
  <c r="G9" i="2" s="1"/>
  <c r="F8" i="2"/>
  <c r="H8" i="2" s="1"/>
  <c r="E8" i="2"/>
  <c r="D8" i="2"/>
  <c r="F7" i="2"/>
  <c r="H7" i="2" s="1"/>
  <c r="E7" i="2"/>
  <c r="D7" i="2"/>
  <c r="F6" i="2"/>
  <c r="H6" i="2" s="1"/>
  <c r="E6" i="2"/>
  <c r="G6" i="2" s="1"/>
  <c r="F5" i="2"/>
  <c r="H5" i="2" s="1"/>
  <c r="E5" i="2"/>
  <c r="D5" i="2"/>
  <c r="F4" i="2"/>
  <c r="H4" i="2" s="1"/>
  <c r="E4" i="2"/>
  <c r="F3" i="2"/>
  <c r="H3" i="2" s="1"/>
  <c r="D3" i="2"/>
  <c r="A1" i="2"/>
  <c r="H21" i="1"/>
  <c r="G20" i="1"/>
  <c r="I20" i="1" s="1"/>
  <c r="I19" i="1"/>
  <c r="H19" i="1"/>
  <c r="G19" i="1"/>
  <c r="G18" i="1"/>
  <c r="H18" i="1" s="1"/>
  <c r="F17" i="1"/>
  <c r="F1" i="1" s="1"/>
  <c r="H12" i="1"/>
  <c r="G12" i="1"/>
  <c r="I12" i="1" s="1"/>
  <c r="G11" i="1"/>
  <c r="I11" i="1" s="1"/>
  <c r="F11" i="1"/>
  <c r="H11" i="1" s="1"/>
  <c r="I9" i="1"/>
  <c r="H9" i="1"/>
  <c r="I8" i="1"/>
  <c r="H8" i="1"/>
  <c r="G7" i="1"/>
  <c r="H7" i="1" s="1"/>
  <c r="I6" i="1"/>
  <c r="H6" i="1"/>
  <c r="G6" i="1"/>
  <c r="G5" i="1"/>
  <c r="H5" i="1" s="1"/>
  <c r="F5" i="1"/>
  <c r="G4" i="1"/>
  <c r="H4" i="1" s="1"/>
  <c r="F4" i="1"/>
  <c r="F3" i="1"/>
  <c r="D3" i="1"/>
  <c r="D1" i="1"/>
  <c r="B1" i="1"/>
  <c r="H37" i="2" l="1"/>
  <c r="G8" i="2"/>
  <c r="G16" i="2"/>
  <c r="G5" i="2"/>
  <c r="G7" i="2"/>
  <c r="H26" i="2"/>
  <c r="H36" i="2"/>
  <c r="I7" i="1"/>
  <c r="G10" i="2"/>
  <c r="H15" i="2"/>
  <c r="G18" i="2"/>
  <c r="G20" i="2"/>
  <c r="H23" i="2"/>
  <c r="H27" i="2"/>
  <c r="H33" i="2"/>
  <c r="G35" i="2"/>
  <c r="G36" i="2"/>
  <c r="F1" i="2"/>
  <c r="H1" i="2" s="1"/>
  <c r="H9" i="2"/>
  <c r="H17" i="2"/>
  <c r="H12" i="2"/>
  <c r="H19" i="2"/>
  <c r="H24" i="2"/>
  <c r="H28" i="2"/>
  <c r="H38" i="2"/>
  <c r="G3" i="2"/>
  <c r="G4" i="2"/>
  <c r="G13" i="2"/>
  <c r="G21" i="2"/>
  <c r="G25" i="2"/>
  <c r="G29" i="2"/>
  <c r="G32" i="2"/>
  <c r="G33" i="2"/>
  <c r="G34" i="2"/>
  <c r="G39" i="2"/>
  <c r="I4" i="1"/>
  <c r="I5" i="1"/>
  <c r="I18" i="1"/>
  <c r="H20" i="1"/>
  <c r="G3" i="1"/>
  <c r="G17" i="1"/>
  <c r="I17" i="1" s="1"/>
  <c r="G1" i="2" l="1"/>
  <c r="H17" i="1"/>
  <c r="H3" i="1"/>
  <c r="H1" i="1" s="1"/>
  <c r="L1" i="1" s="1"/>
  <c r="I3" i="1"/>
  <c r="G1" i="1"/>
  <c r="I1" i="1" s="1"/>
</calcChain>
</file>

<file path=xl/sharedStrings.xml><?xml version="1.0" encoding="utf-8"?>
<sst xmlns="http://schemas.openxmlformats.org/spreadsheetml/2006/main" count="143" uniqueCount="80">
  <si>
    <t>%</t>
  </si>
  <si>
    <t>รหัสงบประมาณ</t>
  </si>
  <si>
    <t>แหล่งของเงิน</t>
  </si>
  <si>
    <t>จำนวนเงิน</t>
  </si>
  <si>
    <t>รายละเอียด</t>
  </si>
  <si>
    <t>ใช้ไป</t>
  </si>
  <si>
    <t>คงเหลือ</t>
  </si>
  <si>
    <t>2305936003500001</t>
  </si>
  <si>
    <t>งบอุดหนุน สายวิทยาศาสตร์</t>
  </si>
  <si>
    <t>ค่าวัสดุการศึกษา</t>
  </si>
  <si>
    <t>ค่าสาธารณูปโภค</t>
  </si>
  <si>
    <t>วัสดุการศึกษาคณะวิทยาศาสตร์ งวดที่ 1</t>
  </si>
  <si>
    <t>วัสดุการศึกษาคณะวิศวกรรมศาสตร์</t>
  </si>
  <si>
    <t>วัสดุการศึกษาคณะวิศว โอนให้คณะบริหาร</t>
  </si>
  <si>
    <t xml:space="preserve">วัสดุการศึกษาคณะวิทยาศาสตร์ </t>
  </si>
  <si>
    <t>2305936004500001</t>
  </si>
  <si>
    <t>งบอุดหนุน สายสังคมศาสตร์</t>
  </si>
  <si>
    <t>วัสดุการศึกษาคณะบริหารธุรกิจและศิลปศาสตร์</t>
  </si>
  <si>
    <t>2305936001500003</t>
  </si>
  <si>
    <t xml:space="preserve"> 4.11 ค่าใช้จ่ายโครงการอนุรักษ์พันธุกรรมพืชอันเนื่องมาจากพระราชดำริ</t>
  </si>
  <si>
    <t>พิษณุโลก-งปม.เงินอุดหนุน (อนุรักษ์พันธุกรรมพืช) โครงการศึกษาการขยายพันธุ์และการเพิ่มผลผลิตของมันพื้นบ้านพันธุ์คัดเลือกในพื้นที่จังหวัดพิษณุโลก (ปีที่3) (อ.อนุสรา จบศรี)</t>
  </si>
  <si>
    <t>พิษณุโลก-งปม.เงินอุดหนุน (อนุรักษ์พันธุกรรมพืช) โครงการอนุรักษ์สายพันธุ์และหาปริมาณแอนโทไซยานินในพืชอนุรักษ์มะเกี๋ยง (ปีที่ 5) (อ.วิศิษฎ์ พงศ์บุรพัฒน์)</t>
  </si>
  <si>
    <t>พิษณุโลก-งปม.เงินอุดหนุน (อนุรักษ์พันธุกรรมพืช) โครงการการพัฒนาระบบเพาะและขยายพันธุ์พรรณไม้น้ำพื้นถิ่นของไทย ด้วยระบบน้ำหมุนเวียน (Water Recirculating System) เพื่อพัฒนาศักยภาพการผลิตและเพิ่มมูลค่าของพรรณไม้น้ำ (ปีที่ 2) (อ.อพิศรา หงส์หิรัญ)</t>
  </si>
  <si>
    <t>งบประมาณรายได้</t>
  </si>
  <si>
    <t>หมายเหตุ</t>
  </si>
  <si>
    <t>ลำดับที่</t>
  </si>
  <si>
    <t>โครงการ</t>
  </si>
  <si>
    <t>งบประมาณตั้งต้น</t>
  </si>
  <si>
    <t>โอนออก</t>
  </si>
  <si>
    <t>รับโอน</t>
  </si>
  <si>
    <t>พิษณุโลก-ผปย.งบดำเนินงาน ค่าเบี้ยเลี้ยง ค่าเช่าที่พักและค่าพาหนะ</t>
  </si>
  <si>
    <t>โอนไป วัสดุเชื้อเพลิง 5500+6076 บาท บำรุงรักษาลิฟท์ 21883 โอนไป รปภ 60000</t>
  </si>
  <si>
    <t>พิษณุโลก-ผปย.งบดำเนินงาน ค่าซ่อมแซมครุภัณฑ์</t>
  </si>
  <si>
    <t>รับโอน วัสดุเกษตร 1439 บาท รับโอน วัสดุเกษตร 4900 รับโอน ค่าจ้างเหมาบริการ 8560</t>
  </si>
  <si>
    <t>พิษณุโลก-ผปย.งบดำเนินงาน วัสดุสำนักงาน</t>
  </si>
  <si>
    <t>รับโอน ค่าจ้างเหมาบริการ 900 บาท รับโอนวัสดุเกษตร 850 บาท รับโอน วัสดุเกษตร 166 บาท รับโอน งานบ้านงานครัว 1100</t>
  </si>
  <si>
    <t>พิษณุโลก-ผปย.งบดำเนินงาน วัสดุเชื้อเพลิงและหล่อลื่น</t>
  </si>
  <si>
    <t>รับโอน ค่าเบี้ยเลี้ยง 5500 + 6076 บาท รับโอนวัสดุก่อสร้าง 9172 บาท รับโอน ค่าสอนพิเศษ 10102+9331</t>
  </si>
  <si>
    <t>พิษณุโลก-ผปย.งบดำเนินงาน วัสดุก่อสร้าง</t>
  </si>
  <si>
    <t>โอนไป วัสดุเชื้อเพลิง 9172 บาท รับโอน วัสดุเกษตร 832 บาท รับโอน วัสดุยาน 3206 บาท</t>
  </si>
  <si>
    <t>พิษณุโลก-ผปย.งบดำเนินงาน วัสดุงานบ้านงานครัว</t>
  </si>
  <si>
    <t>โอนไป วัสดุสำนักงาน 1100 บาท</t>
  </si>
  <si>
    <t>พิษณุโลก-ผปย.งบดำเนินงาน วัสดุไฟฟ้าและวิทยุ</t>
  </si>
  <si>
    <t>พิษณุโลก-ผปย.งบดำเนินงาน วัสดุการเกษตร</t>
  </si>
  <si>
    <t>โอนไป ซ่อมแซมครุภัณฑ์ 1439 บาท โอนไป วัสดุสำนักงาน 850 บาท วัสดุก่อสร้าง 832 บาท วัสดุสำนักงาน 166 โอนไป ค่าซ่อมแซมครุภัณฑ์ 4900</t>
  </si>
  <si>
    <t>พิษณุโลก-ผปย.งบดำเนินงาน วัสดุยานพาหนะและขนส่ง</t>
  </si>
  <si>
    <t>โอนไปวัสดุก่อสร้าง 3206 บาท</t>
  </si>
  <si>
    <t>พิษณุโลก-ผปย.งบดำเนินงาน ค่าโทรศัพท์</t>
  </si>
  <si>
    <t>พิษณุโลก-ผปย.งบดำเนินงาน ค่าไฟฟ้า</t>
  </si>
  <si>
    <t>พิษณุโลก-ผปย.งบดำเนินงาน ค่าน้ำประปา</t>
  </si>
  <si>
    <t>พิษณุโลก-ผปย.งบดำเนินงาน ค่าไปรษณีย์</t>
  </si>
  <si>
    <t>พิษณุโลก-ผปย.งบดำเนินงาน ค่าจ้างเหมาบริการ</t>
  </si>
  <si>
    <t xml:space="preserve">โอนไป วัสดุสำนักงาน 900 ค่าไวนิล โอนไป ค่าซ่อมแซมครุภัณฑ์ 8560 </t>
  </si>
  <si>
    <t>พิษณุโลก-ผปย.งบดำเนินงาน ค่าจ้างเหมาบริการกำจัดขยะมูลฝอย</t>
  </si>
  <si>
    <t>พิษณุโลก-ผปย.งบดำเนินงาน ค่าจ้างเหมาบริการรักษาความปลอดภัย</t>
  </si>
  <si>
    <t>รับโอน ค่าเบี้ยเลี้ยง 60000</t>
  </si>
  <si>
    <t>พิษณุโลก-ผปย.งบดำเนินงาน ค่าจ้างเหมาบริการงานอาคารสถานที่</t>
  </si>
  <si>
    <t>พิษณุโลก-ผปย.งบดำเนินงาน ค่าจ้างเหมาบริการบำรุงรักษาลิฟท์</t>
  </si>
  <si>
    <t>รับโอน ค่าเบี้ยเลี้ยง 21883 บาท</t>
  </si>
  <si>
    <t>พิษณุโลก-ผปย.งบดำเนินงาน ค่าตอบแทนผู้ปฏิบัติงานให้ราชการ</t>
  </si>
  <si>
    <t>พิษณุโลก-ผปย.งบดำเนินงาน ค่าตอบแทนผู้ปฏิบัติงานให้ราชการ ค่าสอนพิเศษ</t>
  </si>
  <si>
    <t>โอนไป วัสดุเชื้อเพลิงและหล่อลื่น 10102 บาท+9331</t>
  </si>
  <si>
    <t>พิษณุโลก-ผปย.งบรายจ่ายอื่น โครงการเตรียมความพร้อมก่อนฝึกประสบการณ์วิชาชีพทางบริหารธุรกิจ ประจำปีการศึกษา 2564</t>
  </si>
  <si>
    <t>พิษณุโลก-ผปย. โครงการนิทรรศการนำเสนอผลงานวิจัยของมหาวิทยาลัยในงานมหกรรมวิทยาศาสตร์และเทคโนโลยีแห่งชาติ 2564</t>
  </si>
  <si>
    <t>ล้านนาโอนมา</t>
  </si>
  <si>
    <t>พิษณุโลก-ผปย.งบรายจ่ายอื่น โครงการนิเทศนักศึกษาฝึกประสบการณ์วิชาชีพครู ภาคเรียนที่ 2/2564</t>
  </si>
  <si>
    <t>พิษณุโลก-สนับสนุนค่าใช้จ่ายในการนำเสนอผลงานวิชาการในงานประชุมวิชการระดับชาติ</t>
  </si>
  <si>
    <t>พิษณุโลก-ผปย.งบรายจ่ายอื่น โครงการสหกิจศึกษาและฝึกงานภายนอก ระดับประกาศนียบัตรวิชาชีพชั้นสูงและระดับปริญญาตรี สาขาวิชาเครื่องจักรกลเกษตร ภาคการศึกษา 2/2564</t>
  </si>
  <si>
    <t>พิษณุโลก-ผปย.งบรายจ่ายอื่น โครงการฝึกงานทางวิชาชีพสาขาวิทยาศาสตร์และเทคโนดลยีการอาหาร ภาคการศึกษาที่ 2/2564</t>
  </si>
  <si>
    <t>พิษณุโลก-ผปย.งบรายจ่ายอื่น โครงการสหกิจศึกษาและฝึกงานภายนอก สาขาวิชาสัตวศาสตร์</t>
  </si>
  <si>
    <t>พิษณุโลก-ผปย.งบรายจ่ายอื่น โครงการพัฒนาบุคลากรและนักวิจัยมืออีพเพื่อสร้างสรรค์งานวิจัยคุณภาพ</t>
  </si>
  <si>
    <t>พิษณุโลก-ผปย.งบรายจ่ายอื่น โครงการสหกิจศึกษา สาขาพืชศาสตร์</t>
  </si>
  <si>
    <t>พิษณุโลก-ผปย.งบรายจ่ายอื่น โครงการนิเทศนักศึกษาฝึกงานหลักสูตรภาษาอังกฤษเพื่อการสื่อสารสากลปีการศึกษา 2564</t>
  </si>
  <si>
    <t>พิษณุโลก-ผปย.งบรายจ่ายอื่น โครงการอบรมเชิงปฏิบัติการสร้างการเรียนรู้เกษตรยุคใหม่ Young Smart Famer (อ.ปัณณวิช คำรอด)</t>
  </si>
  <si>
    <t>พิษณุโลก-ผปย.งบรายจ่ายอื่น โครงการนิเทศการฝึกประสบการณ์วิชาชีพทางบริหารธุรกิจหลักสูตรการจัดการธุรกิจ ประจำปีการศึกษา 2564</t>
  </si>
  <si>
    <t>พิษณุโลก-ผปย.งบรายจ่ายอื่น โครงการประชาสัมพันธ์การศึกษาต่อ มทร.ล้านนา พิษณุโลก ปีการศึกษา 2565</t>
  </si>
  <si>
    <t>พิษณุโลก-ผปย.งบรายจ่ายอื่น โครงการแข่งขันทักษะทางวิชาการด้านบริหารธุรกิจ 9 มทร. ครั้งที่ 9</t>
  </si>
  <si>
    <t>พิษณุโลก-ผปย.เงินอุดหนุน ทุนการศึกษาทุนเรียนดี ประจำภาคเรียนที่ 1/2564</t>
  </si>
  <si>
    <t>พิษณุโลก-ผปย.เงินรับฝากค่าบำรุงการศึกษา โครงการ Michelin Academy นิคมอุตสาหกรรมเหมราช อ.บ้านค่าย จ.ระยอง ประจำปีงบประมาณ พ.ศ. 2564 เทอม 2/64 (อ.ศักดิ์สิทธิ์ ชื่นชมนาคจาด)</t>
  </si>
  <si>
    <t>พิษณุโลก-ผปย.งบรายจ่ายอื่น โครงการถ่ายทอดองค์ความรู้และสืบสานศาสตร์งานศิลป์ถิ่นวัฒนธรรม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</si>
</sst>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sz val="12"/>
      <color theme="1"/>
      <name val="TH SarabunPSK"/>
      <family val="2"/>
    </font>
    <font>
      <sz val="14"/>
      <color rgb="FF0000FF"/>
      <name val="TH SarabunPSK"/>
      <family val="2"/>
    </font>
    <font>
      <sz val="14"/>
      <color rgb="FF0070C0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/>
    <xf numFmtId="14" fontId="2" fillId="0" borderId="0" xfId="1" applyNumberFormat="1" applyFont="1" applyAlignment="1">
      <alignment horizontal="left"/>
    </xf>
    <xf numFmtId="43" fontId="2" fillId="0" borderId="0" xfId="1" applyFont="1" applyAlignment="1">
      <alignment horizontal="center"/>
    </xf>
    <xf numFmtId="14" fontId="2" fillId="0" borderId="0" xfId="1" applyNumberFormat="1" applyFont="1" applyAlignment="1"/>
    <xf numFmtId="0" fontId="2" fillId="0" borderId="0" xfId="0" applyFont="1" applyAlignment="1">
      <alignment wrapText="1"/>
    </xf>
    <xf numFmtId="43" fontId="3" fillId="0" borderId="0" xfId="1" applyFont="1" applyAlignment="1"/>
    <xf numFmtId="2" fontId="4" fillId="0" borderId="0" xfId="0" applyNumberFormat="1" applyFont="1" applyBorder="1" applyAlignment="1"/>
    <xf numFmtId="43" fontId="4" fillId="0" borderId="0" xfId="1" applyFont="1" applyBorder="1" applyAlignment="1"/>
    <xf numFmtId="0" fontId="4" fillId="0" borderId="0" xfId="0" applyFont="1" applyAlignment="1"/>
    <xf numFmtId="43" fontId="4" fillId="0" borderId="0" xfId="0" applyNumberFormat="1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3" fontId="2" fillId="0" borderId="1" xfId="1" applyFont="1" applyBorder="1" applyAlignment="1"/>
    <xf numFmtId="0" fontId="2" fillId="2" borderId="1" xfId="0" quotePrefix="1" applyFont="1" applyFill="1" applyBorder="1" applyAlignment="1"/>
    <xf numFmtId="0" fontId="2" fillId="2" borderId="1" xfId="0" quotePrefix="1" applyFont="1" applyFill="1" applyBorder="1" applyAlignment="1">
      <alignment horizontal="center"/>
    </xf>
    <xf numFmtId="43" fontId="5" fillId="2" borderId="1" xfId="1" quotePrefix="1" applyFont="1" applyFill="1" applyBorder="1" applyAlignment="1">
      <alignment horizontal="left"/>
    </xf>
    <xf numFmtId="0" fontId="2" fillId="2" borderId="0" xfId="0" applyFont="1" applyFill="1" applyAlignment="1"/>
    <xf numFmtId="43" fontId="2" fillId="2" borderId="0" xfId="0" applyNumberFormat="1" applyFont="1" applyFill="1" applyAlignment="1"/>
    <xf numFmtId="43" fontId="5" fillId="2" borderId="0" xfId="0" applyNumberFormat="1" applyFont="1" applyFill="1" applyAlignment="1"/>
    <xf numFmtId="2" fontId="2" fillId="2" borderId="1" xfId="0" applyNumberFormat="1" applyFont="1" applyFill="1" applyBorder="1" applyAlignment="1"/>
    <xf numFmtId="43" fontId="2" fillId="2" borderId="1" xfId="1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Fill="1" applyBorder="1" applyAlignment="1">
      <alignment wrapText="1"/>
    </xf>
    <xf numFmtId="43" fontId="4" fillId="0" borderId="1" xfId="1" applyFont="1" applyFill="1" applyBorder="1" applyAlignment="1"/>
    <xf numFmtId="43" fontId="6" fillId="0" borderId="1" xfId="1" applyFont="1" applyFill="1" applyBorder="1" applyAlignment="1"/>
    <xf numFmtId="43" fontId="7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43" fontId="5" fillId="0" borderId="1" xfId="0" applyNumberFormat="1" applyFont="1" applyBorder="1" applyAlignment="1"/>
    <xf numFmtId="0" fontId="4" fillId="0" borderId="1" xfId="0" applyFont="1" applyBorder="1" applyAlignment="1">
      <alignment wrapText="1"/>
    </xf>
    <xf numFmtId="43" fontId="4" fillId="0" borderId="1" xfId="1" applyFont="1" applyBorder="1" applyAlignment="1"/>
    <xf numFmtId="43" fontId="6" fillId="0" borderId="1" xfId="1" applyFont="1" applyBorder="1" applyAlignment="1"/>
    <xf numFmtId="43" fontId="7" fillId="0" borderId="1" xfId="0" applyNumberFormat="1" applyFont="1" applyBorder="1" applyAlignment="1"/>
    <xf numFmtId="2" fontId="4" fillId="0" borderId="1" xfId="0" applyNumberFormat="1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43" fontId="5" fillId="0" borderId="2" xfId="0" applyNumberFormat="1" applyFont="1" applyBorder="1" applyAlignment="1"/>
    <xf numFmtId="0" fontId="4" fillId="0" borderId="2" xfId="0" applyFont="1" applyBorder="1" applyAlignment="1">
      <alignment wrapText="1"/>
    </xf>
    <xf numFmtId="43" fontId="4" fillId="0" borderId="2" xfId="1" applyFont="1" applyBorder="1" applyAlignment="1"/>
    <xf numFmtId="43" fontId="6" fillId="0" borderId="2" xfId="1" applyFont="1" applyBorder="1" applyAlignment="1"/>
    <xf numFmtId="43" fontId="7" fillId="0" borderId="2" xfId="0" applyNumberFormat="1" applyFont="1" applyBorder="1" applyAlignment="1"/>
    <xf numFmtId="2" fontId="4" fillId="0" borderId="2" xfId="0" applyNumberFormat="1" applyFont="1" applyBorder="1" applyAlignment="1"/>
    <xf numFmtId="0" fontId="2" fillId="2" borderId="2" xfId="0" quotePrefix="1" applyFont="1" applyFill="1" applyBorder="1" applyAlignment="1"/>
    <xf numFmtId="0" fontId="2" fillId="2" borderId="2" xfId="0" quotePrefix="1" applyFont="1" applyFill="1" applyBorder="1" applyAlignment="1">
      <alignment horizontal="center"/>
    </xf>
    <xf numFmtId="43" fontId="5" fillId="2" borderId="2" xfId="0" applyNumberFormat="1" applyFont="1" applyFill="1" applyBorder="1" applyAlignment="1"/>
    <xf numFmtId="2" fontId="2" fillId="2" borderId="2" xfId="0" applyNumberFormat="1" applyFont="1" applyFill="1" applyBorder="1" applyAlignment="1"/>
    <xf numFmtId="43" fontId="2" fillId="2" borderId="2" xfId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43" fontId="5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0" borderId="0" xfId="0" applyFont="1" applyFill="1" applyAlignment="1"/>
    <xf numFmtId="0" fontId="4" fillId="0" borderId="0" xfId="0" applyFont="1" applyAlignment="1">
      <alignment wrapText="1"/>
    </xf>
    <xf numFmtId="14" fontId="2" fillId="0" borderId="0" xfId="1" applyNumberFormat="1" applyFont="1"/>
    <xf numFmtId="43" fontId="5" fillId="0" borderId="3" xfId="1" applyFont="1" applyBorder="1" applyAlignment="1">
      <alignment wrapText="1"/>
    </xf>
    <xf numFmtId="43" fontId="8" fillId="0" borderId="0" xfId="1" applyFont="1"/>
    <xf numFmtId="43" fontId="3" fillId="0" borderId="3" xfId="1" applyFont="1" applyBorder="1" applyAlignment="1">
      <alignment horizontal="center"/>
    </xf>
    <xf numFmtId="43" fontId="5" fillId="0" borderId="3" xfId="1" applyFont="1" applyBorder="1"/>
    <xf numFmtId="43" fontId="5" fillId="0" borderId="0" xfId="1" applyFont="1" applyBorder="1"/>
    <xf numFmtId="43" fontId="4" fillId="0" borderId="0" xfId="1" applyFont="1" applyBorder="1"/>
    <xf numFmtId="0" fontId="4" fillId="0" borderId="0" xfId="0" applyFont="1"/>
    <xf numFmtId="43" fontId="9" fillId="0" borderId="1" xfId="1" applyFont="1" applyBorder="1" applyAlignment="1">
      <alignment horizontal="right"/>
    </xf>
    <xf numFmtId="43" fontId="3" fillId="0" borderId="1" xfId="1" applyFont="1" applyBorder="1" applyAlignment="1">
      <alignment horizontal="center"/>
    </xf>
    <xf numFmtId="43" fontId="5" fillId="0" borderId="1" xfId="1" applyFont="1" applyBorder="1" applyAlignment="1">
      <alignment horizontal="right"/>
    </xf>
    <xf numFmtId="0" fontId="2" fillId="0" borderId="1" xfId="0" applyFont="1" applyBorder="1"/>
    <xf numFmtId="14" fontId="2" fillId="0" borderId="1" xfId="1" applyNumberFormat="1" applyFont="1" applyBorder="1"/>
    <xf numFmtId="0" fontId="10" fillId="0" borderId="1" xfId="0" applyFont="1" applyBorder="1" applyAlignment="1">
      <alignment horizontal="center"/>
    </xf>
    <xf numFmtId="43" fontId="4" fillId="0" borderId="1" xfId="1" applyFont="1" applyBorder="1"/>
    <xf numFmtId="43" fontId="11" fillId="0" borderId="1" xfId="1" applyFont="1" applyBorder="1" applyAlignment="1">
      <alignment horizontal="center"/>
    </xf>
    <xf numFmtId="43" fontId="4" fillId="0" borderId="1" xfId="0" applyNumberFormat="1" applyFont="1" applyBorder="1"/>
    <xf numFmtId="43" fontId="7" fillId="0" borderId="1" xfId="0" applyNumberFormat="1" applyFont="1" applyFill="1" applyBorder="1"/>
    <xf numFmtId="43" fontId="5" fillId="0" borderId="1" xfId="1" applyFont="1" applyBorder="1"/>
    <xf numFmtId="0" fontId="12" fillId="0" borderId="0" xfId="0" applyFont="1" applyAlignment="1">
      <alignment wrapText="1"/>
    </xf>
    <xf numFmtId="43" fontId="7" fillId="0" borderId="1" xfId="0" applyNumberFormat="1" applyFont="1" applyBorder="1"/>
    <xf numFmtId="43" fontId="4" fillId="0" borderId="0" xfId="0" applyNumberFormat="1" applyFont="1"/>
    <xf numFmtId="0" fontId="10" fillId="0" borderId="1" xfId="0" applyFont="1" applyFill="1" applyBorder="1" applyAlignment="1">
      <alignment horizontal="center"/>
    </xf>
    <xf numFmtId="0" fontId="4" fillId="0" borderId="1" xfId="0" applyFont="1" applyBorder="1"/>
    <xf numFmtId="43" fontId="4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0" xfId="0" applyFont="1" applyAlignment="1">
      <alignment horizontal="center"/>
    </xf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1.&#3591;&#3610;&#3605;&#3633;&#3657;&#3591;&#3605;&#3657;&#3609;%20&#3611;&#3637;&#3591;&#3610;&#3611;&#3619;&#3632;&#3617;&#3634;&#3603;%20256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9%20&#3614;&#3636;&#3625;&#3603;&#3640;&#3650;&#3621;&#3585;-&#3612;&#3611;&#3618;.&#3591;&#3610;&#3604;&#3635;&#3648;&#3609;&#3636;&#3609;&#3591;&#3634;&#3609;%20&#3623;&#3633;&#3626;&#3604;&#3640;&#3618;&#3634;&#3609;&#3614;&#3634;&#3627;&#3609;&#3632;&#3649;&#3621;&#3632;&#3586;&#3609;&#3626;&#3656;&#359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0%20&#3614;&#3636;&#3625;&#3603;&#3640;&#3650;&#3621;&#3585;-&#3612;&#3611;&#3618;.&#3591;&#3610;&#3604;&#3635;&#3648;&#3609;&#3636;&#3609;&#3591;&#3634;&#3609;%20&#3588;&#3656;&#3634;&#3650;&#3607;&#3619;&#3624;&#3633;&#3614;&#3607;&#36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1%20&#3614;&#3636;&#3625;&#3603;&#3640;&#3650;&#3621;&#3585;-&#3612;&#3611;&#3618;.&#3591;&#3610;&#3604;&#3635;&#3648;&#3609;&#3636;&#3609;&#3591;&#3634;&#3609;%20&#3588;&#3656;&#3634;&#3652;&#3615;&#3615;&#3657;&#363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2%20&#3614;&#3636;&#3625;&#3603;&#3640;&#3650;&#3621;&#3585;-&#3612;&#3611;&#3618;.&#3591;&#3610;&#3604;&#3635;&#3648;&#3609;&#3636;&#3609;&#3591;&#3634;&#3609;%20&#3588;&#3656;&#3634;&#3609;&#3657;&#3635;&#3611;&#3619;&#3632;&#3611;&#363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3%20&#3614;&#3636;&#3625;&#3603;&#3640;&#3650;&#3621;&#3585;-&#3612;&#3611;&#3618;.&#3591;&#3610;&#3604;&#3635;&#3648;&#3609;&#3636;&#3609;&#3591;&#3634;&#3609;%20&#3588;&#3656;&#3634;&#3652;&#3611;&#3619;&#3625;&#3603;&#3637;&#3618;&#36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4%20&#3614;&#3636;&#3625;&#3603;&#3640;&#3650;&#3621;&#3585;-&#3612;&#3611;&#3618;.&#3591;&#3610;&#3604;&#3635;&#3648;&#3609;&#3636;&#3609;&#3591;&#3634;&#3609;%20&#3588;&#3656;&#3634;&#3592;&#3657;&#3634;&#3591;&#3648;&#3627;&#3617;&#3634;&#3610;&#3619;&#3636;&#3585;&#3634;&#361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5%20&#3614;&#3636;&#3625;&#3603;&#3640;&#3650;&#3621;&#3585;-&#3612;&#3611;&#3618;.&#3591;&#3610;&#3604;&#3635;&#3648;&#3609;&#3636;&#3609;&#3591;&#3634;&#3609;%20&#3588;&#3656;&#3634;&#3592;&#3657;&#3634;&#3591;&#3648;&#3627;&#3617;&#3634;&#3610;&#3619;&#3636;&#3585;&#3634;&#3619;&#3585;&#3635;&#3592;&#3633;&#3604;&#3586;&#3618;&#3632;&#3617;&#3641;&#3621;&#3613;&#3629;&#3618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6%20&#3614;&#3636;&#3625;&#3603;&#3640;&#3650;&#3621;&#3585;-&#3612;&#3611;&#3618;.&#3591;&#3610;&#3604;&#3635;&#3648;&#3609;&#3636;&#3609;&#3591;&#3634;&#3609;%20&#3588;&#3656;&#3634;&#3592;&#3657;&#3634;&#3591;&#3648;&#3627;&#3617;&#3634;&#3610;&#3619;&#3636;&#3585;&#3634;&#3619;&#3619;&#3633;&#3585;&#3625;&#3634;&#3588;&#3623;&#3634;&#3617;&#3611;&#3621;&#3629;&#3604;&#3616;&#3633;&#361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7%20&#3614;&#3636;&#3625;&#3603;&#3640;&#3650;&#3621;&#3585;-&#3612;&#3611;&#3618;.&#3591;&#3610;&#3604;&#3635;&#3648;&#3609;&#3636;&#3609;&#3591;&#3634;&#3609;%20&#3588;&#3656;&#3634;&#3592;&#3657;&#3634;&#3591;&#3648;&#3627;&#3617;&#3634;&#3610;&#3619;&#3636;&#3585;&#3634;&#3619;&#3591;&#3634;&#3609;&#3629;&#3634;&#3588;&#3634;&#3619;&#3626;&#3606;&#3634;&#3609;&#3607;&#3637;&#365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8%20&#3614;&#3636;&#3625;&#3603;&#3640;&#3650;&#3621;&#3585;-&#3612;&#3611;&#3618;.&#3591;&#3610;&#3604;&#3635;&#3648;&#3609;&#3636;&#3609;&#3591;&#3634;&#3609;%20&#3588;&#3656;&#3634;&#3592;&#3657;&#3634;&#3591;&#3648;&#3627;&#3617;&#3634;&#3610;&#3619;&#3636;&#3585;&#3634;&#3619;&#3610;&#3635;&#3619;&#3640;&#3591;&#3619;&#3633;&#3585;&#3625;&#3634;&#3621;&#3636;&#3615;&#3607;&#36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%20&#3614;&#3636;&#3625;&#3603;&#3640;&#3650;&#3621;&#3585;-&#3612;&#3611;&#3618;.&#3591;&#3610;&#3604;&#3635;&#3648;&#3609;&#3636;&#3609;&#3591;&#3634;&#3609;%20&#3588;&#3656;&#3634;&#3648;&#3610;&#3637;&#3657;&#3618;&#3648;&#3621;&#3637;&#3657;&#3618;&#3591;%20&#3588;&#3656;&#3634;&#3648;&#3594;&#3656;&#3634;&#3607;&#3637;&#3656;&#3614;&#3633;&#3585;&#3649;&#3621;&#3632;&#3588;&#3656;&#3634;&#3614;&#3634;&#3627;&#3609;&#363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19%20&#3614;&#3636;&#3625;&#3603;&#3640;&#3650;&#3621;&#3585;-&#3612;&#3611;&#3618;.&#3591;&#3610;&#3604;&#3635;&#3648;&#3609;&#3636;&#3609;&#3591;&#3634;&#3609;%20&#3588;&#3656;&#3634;&#3605;&#3629;&#3610;&#3649;&#3607;&#3609;&#3612;&#3641;&#3657;&#3611;&#3599;&#3636;&#3610;&#3633;&#3605;&#3636;&#3591;&#3634;&#3609;&#3651;&#3627;&#3657;&#3619;&#3634;&#3594;&#3585;&#3634;&#361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1%20&#3614;&#3636;&#3625;&#3603;&#3640;&#3650;&#3621;&#3585;-&#3612;&#3611;&#3618;.&#3591;&#3610;&#3619;&#3634;&#3618;&#3592;&#3656;&#3634;&#3618;&#3629;&#3639;&#3656;&#3609;%20&#3650;&#3588;&#3619;&#3591;&#3585;&#3634;&#3619;&#3648;&#3605;&#3619;&#3637;&#3618;&#3617;&#3588;&#3623;&#3634;&#3617;&#3614;&#3619;&#3657;&#3629;&#3617;&#3585;&#3656;&#3629;&#3609;&#3613;&#3638;&#3585;&#3611;&#3619;&#3632;&#3626;&#3610;&#3585;&#3634;&#3619;&#3603;&#3660;&#3623;&#3636;&#3594;&#3634;&#3594;&#3637;&#3614;&#3607;&#3634;&#3591;&#3610;&#3619;&#3636;&#3627;&#3634;&#3619;&#3608;&#3640;&#3619;&#3585;&#3636;&#3592;%20&#3611;&#3619;&#3632;&#3592;&#3635;&#3611;&#3637;&#3585;&#3634;&#3619;&#3624;&#3638;&#3585;&#3625;&#3634;%20256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2%20&#3614;&#3636;&#3625;&#3603;&#3640;&#3650;&#3621;&#3585;-&#3612;&#3611;&#3618;.%20&#3650;&#3588;&#3619;&#3591;&#3585;&#3634;&#3619;&#3609;&#3636;&#3607;&#3619;&#3619;&#3624;&#3585;&#3634;&#3619;&#3609;&#3635;&#3648;&#3626;&#3609;&#3629;&#3612;&#3621;&#3591;&#3634;&#3609;&#3623;&#3636;&#3592;&#3633;&#3618;&#3586;&#3629;&#3591;&#3617;&#3627;&#3634;&#3623;&#3636;&#3607;&#3618;&#3634;&#3621;&#3633;&#3618;&#3651;&#3609;&#3591;&#3634;&#3609;&#3617;&#3627;&#3585;&#3619;&#3619;&#3617;&#3623;&#3636;&#3607;&#3618;&#3634;&#3624;&#3634;&#3626;&#3605;&#3619;&#3660;&#3649;&#3621;&#3632;&#3648;&#3607;&#3588;&#3650;&#3609;&#3650;&#3621;&#3618;&#3637;&#3649;&#3627;&#3656;&#3591;&#3594;&#3634;&#3605;&#3636;%20256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3%20&#3614;&#3636;&#3625;&#3603;&#3640;&#3650;&#3621;&#3585;-&#3612;&#3611;&#3618;.&#3591;&#3610;&#3619;&#3634;&#3618;&#3592;&#3656;&#3634;&#3618;&#3629;&#3639;&#3656;&#3609;%20&#3650;&#3588;&#3619;&#3591;&#3585;&#3634;&#3619;&#3609;&#3636;&#3648;&#3607;&#3624;&#3609;&#3633;&#3585;&#3624;&#3638;&#3585;&#3625;&#3634;&#3613;&#3638;&#3585;&#3611;&#3619;&#3632;&#3626;&#3610;&#3585;&#3634;&#3619;&#3603;&#3660;&#3623;&#3636;&#3594;&#3634;&#3594;&#3637;&#3614;&#3588;&#3619;&#3641;%20&#3616;&#3634;&#3588;&#3648;&#3619;&#3637;&#3618;&#3609;&#3607;&#3637;&#3656;%202-256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4%20&#3614;&#3636;&#3625;&#3603;&#3640;&#3650;&#3621;&#3585;-&#3626;&#3609;&#3633;&#3610;&#3626;&#3609;&#3640;&#3609;&#3588;&#3656;&#3634;&#3651;&#3594;&#3657;&#3592;&#3656;&#3634;&#3618;&#3651;&#3609;&#3585;&#3634;&#3619;&#3609;&#3635;&#3648;&#3626;&#3609;&#3629;&#3612;&#3621;&#3591;&#3634;&#3609;&#3623;&#3636;&#3594;&#3634;&#3585;&#3634;&#3619;&#3651;&#3609;&#3591;&#3634;&#3609;&#3611;&#3619;&#3632;&#3594;&#3640;&#3617;&#3623;&#3636;&#3594;&#3634;&#3585;&#3634;&#3619;&#3619;&#3632;&#3604;&#3633;&#3610;&#3594;&#3634;&#3605;&#363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5%20&#3614;&#3636;&#3625;&#3603;&#3640;&#3650;&#3621;&#3585;-&#3612;&#3611;&#3618;.&#3591;&#3610;&#3619;&#3634;&#3618;&#3592;&#3656;&#3634;&#3618;&#3629;&#3639;&#3656;&#3609;%20&#3650;&#3588;&#3619;&#3591;&#3585;&#3634;&#3619;&#3626;&#3627;&#3585;&#3636;&#3592;&#3624;&#3638;&#3585;&#3625;&#3634;&#3649;&#3621;&#3632;&#3613;&#3638;&#3585;&#3591;&#3634;&#3609;&#3616;&#3634;&#3618;&#3609;&#3629;&#3585;%20&#3626;&#3634;&#3586;&#3634;&#3623;&#3636;&#3594;&#3634;&#3648;&#3588;&#3619;&#3639;&#3656;&#3629;&#3591;&#3592;&#3633;&#3585;&#3619;&#3585;&#3621;&#3648;&#3585;&#3625;&#3605;&#3619;%20&#3616;&#3634;&#3588;&#3585;&#3634;&#3619;&#3624;&#3638;&#3585;&#3625;&#3634;%202-256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6%20&#3614;&#3636;&#3625;&#3603;&#3640;&#3650;&#3621;&#3585;-&#3612;&#3611;&#3618;.&#3591;&#3610;&#3619;&#3634;&#3618;&#3592;&#3656;&#3634;&#3618;&#3629;&#3639;&#3656;&#3609;%20&#3650;&#3588;&#3619;&#3591;&#3585;&#3634;&#3619;&#3613;&#3638;&#3585;&#3591;&#3634;&#3609;&#3607;&#3634;&#3591;&#3623;&#3636;&#3594;&#3634;&#3594;&#3637;&#3614;&#3626;&#3634;&#3586;&#3634;&#3623;&#3636;&#3607;&#3618;&#3634;&#3624;&#3634;&#3626;&#3605;&#3619;&#3660;&#3649;&#3621;&#3632;&#3648;&#3607;&#3588;&#3650;&#3609;&#3650;&#3621;&#3618;&#3637;&#3585;&#3634;&#3619;&#3629;&#3634;&#3627;&#3634;&#3619;%20&#3616;&#3634;&#3588;&#3585;&#3634;&#3619;&#3624;&#3638;&#3585;&#3625;&#3634;&#3607;&#3637;&#3656;%202-256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7%20&#3614;&#3636;&#3625;&#3603;&#3640;&#3650;&#3621;&#3585;-&#3612;&#3611;&#3618;.&#3591;&#3610;&#3619;&#3634;&#3618;&#3592;&#3656;&#3634;&#3618;&#3629;&#3639;&#3656;&#3609;%20&#3650;&#3588;&#3619;&#3591;&#3585;&#3634;&#3619;&#3626;&#3627;&#3585;&#3636;&#3592;&#3624;&#3638;&#3585;&#3625;&#3634;&#3649;&#3621;&#3632;&#3613;&#3638;&#3585;&#3591;&#3634;&#3609;&#3616;&#3634;&#3618;&#3609;&#3629;&#3585;%20&#3626;&#3634;&#3586;&#3634;&#3623;&#3636;&#3594;&#3634;&#3626;&#3633;&#3605;&#3623;&#3624;&#3634;&#3626;&#3605;&#3619;&#36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8%20&#3614;&#3636;&#3625;&#3603;&#3640;&#3650;&#3621;&#3585;-&#3612;&#3611;&#3618;.&#3591;&#3610;&#3619;&#3634;&#3618;&#3592;&#3656;&#3634;&#3618;&#3629;&#3639;&#3656;&#3609;%20&#3650;&#3588;&#3619;&#3591;&#3585;&#3634;&#3619;&#3614;&#3633;&#3602;&#3609;&#3634;&#3610;&#3640;&#3588;&#3621;&#3634;&#3585;&#3619;&#3649;&#3621;&#3632;&#3609;&#3633;&#3585;&#3623;&#3636;&#3592;&#3633;&#3618;&#3617;&#3639;&#3629;&#3629;&#3637;&#3614;&#3648;&#3614;&#3639;&#3656;&#3629;&#3626;&#3619;&#3657;&#3634;&#3591;&#3626;&#3619;&#3619;&#3588;&#3660;&#3591;&#3634;&#3609;&#3623;&#3636;&#3592;&#3633;&#3618;&#3588;&#3640;&#3603;&#3616;&#3634;&#3614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0%20&#3614;&#3636;&#3625;&#3603;&#3640;&#3650;&#3621;&#3585;-&#3612;&#3611;&#3618;.&#3591;&#3610;&#3619;&#3634;&#3618;&#3592;&#3656;&#3634;&#3618;&#3629;&#3639;&#3656;&#3609;%20&#3650;&#3588;&#3619;&#3591;&#3585;&#3634;&#3619;&#3609;&#3636;&#3648;&#3607;&#3624;&#3609;&#3633;&#3585;&#3624;&#3638;&#3585;&#3625;&#3634;&#3613;&#3638;&#3585;&#3591;&#3634;&#3609;&#3627;&#3621;&#3633;&#3585;&#3626;&#3641;&#3605;&#3619;&#3616;&#3634;&#3625;&#3634;&#3629;&#3633;&#3591;&#3585;&#3620;&#3625;&#3648;&#3614;&#3639;&#3656;&#3629;&#3585;&#3634;&#3619;&#3626;&#3639;&#3656;&#3629;&#3626;&#3634;&#3619;&#3626;&#3634;&#3585;&#3621;&#3611;&#3637;&#3585;&#3634;&#3619;&#3624;&#3638;&#3585;&#3625;&#3634;%2025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2%20&#3614;&#3636;&#3625;&#3603;&#3640;&#3650;&#3621;&#3585;-&#3612;&#3611;&#3618;.&#3591;&#3610;&#3604;&#3635;&#3648;&#3609;&#3636;&#3609;&#3591;&#3634;&#3609;%20&#3588;&#3656;&#3634;&#3595;&#3656;&#3629;&#3617;&#3649;&#3595;&#3617;&#3588;&#3619;&#3640;&#3616;&#3633;&#3603;&#3601;&#36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1%20&#3614;&#3636;&#3625;&#3603;&#3640;&#3650;&#3621;&#3585;-&#3612;&#3611;&#3618;.&#3591;&#3610;&#3619;&#3634;&#3618;&#3592;&#3656;&#3634;&#3618;&#3629;&#3639;&#3656;&#3609;%20&#3650;&#3588;&#3619;&#3591;&#3585;&#3634;&#3619;&#3629;&#3610;&#3619;&#3617;&#3648;&#3594;&#3636;&#3591;&#3611;&#3599;&#3636;&#3610;&#3633;&#3605;&#3636;&#3585;&#3634;&#3619;&#3626;&#3619;&#3657;&#3634;&#3591;&#3585;&#3634;&#3619;&#3648;&#3619;&#3637;&#3618;&#3609;&#3619;&#3641;&#3657;&#3648;&#3585;&#3625;&#3605;&#3619;&#3618;&#3640;&#3588;&#3651;&#3627;&#3617;&#3656;%20Young%20Smart%20Famer%20(&#3629;.&#3611;&#3633;&#3603;&#3603;&#3623;&#3636;&#3594;%20&#3588;&#3635;&#3619;&#3629;&#3604;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2%20&#3614;&#3636;&#3625;&#3603;&#3640;&#3650;&#3621;&#3585;-&#3612;&#3611;&#3618;.&#3591;&#3610;&#3619;&#3634;&#3618;&#3592;&#3656;&#3634;&#3618;&#3629;&#3639;&#3656;&#3609;%20&#3650;&#3588;&#3619;&#3591;&#3585;&#3634;&#3619;&#3609;&#3636;&#3648;&#3607;&#3624;&#3585;&#3634;&#3619;&#3613;&#3638;&#3585;&#3611;&#3619;&#3632;&#3626;&#3610;&#3585;&#3634;&#3619;&#3603;&#3660;&#3623;&#3636;&#3594;&#3634;&#3594;&#3637;&#3614;&#3607;&#3634;&#3591;&#3610;&#3619;&#3636;&#3627;&#3634;&#3619;&#3608;&#3640;&#3619;&#3585;&#3636;&#3592;&#3627;&#3621;&#3633;&#3585;&#3626;&#3641;&#3605;&#3619;&#3585;&#3634;&#3619;&#3592;&#3633;&#3604;&#3585;&#3634;&#3619;&#3608;&#3640;&#3619;&#3585;&#3636;&#3592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3%20&#3614;&#3636;&#3625;&#3603;&#3640;&#3650;&#3621;&#3585;-&#3612;&#3611;&#3618;.&#3591;&#3610;&#3619;&#3634;&#3618;&#3592;&#3656;&#3634;&#3618;&#3629;&#3639;&#3656;&#3609;%20&#3650;&#3588;&#3619;&#3591;&#3585;&#3634;&#3619;&#3611;&#3619;&#3632;&#3594;&#3634;&#3626;&#3633;&#3617;&#3614;&#3633;&#3609;&#3608;&#3660;&#3585;&#3634;&#3619;&#3624;&#3638;&#3585;&#3625;&#3634;&#3605;&#3656;&#3629;%20&#3617;&#3607;&#3619;.&#3621;&#3657;&#3634;&#3609;&#3609;&#3634;%20&#3614;&#3636;&#3625;&#3603;&#3640;&#3650;&#3621;&#3585;%20&#3611;&#3637;&#3585;&#3634;&#3619;&#3624;&#3638;&#3585;&#3625;&#3634;%20256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4%20&#3614;&#3636;&#3625;&#3603;&#3640;&#3650;&#3621;&#3585;-&#3612;&#3611;&#3618;.&#3591;&#3610;&#3619;&#3634;&#3618;&#3592;&#3656;&#3634;&#3618;&#3629;&#3639;&#3656;&#3609;%20&#3650;&#3588;&#3619;&#3591;&#3585;&#3634;&#3619;&#3649;&#3586;&#3656;&#3591;&#3586;&#3633;&#3609;&#3607;&#3633;&#3585;&#3625;&#3632;&#3607;&#3634;&#3591;&#3623;&#3636;&#3594;&#3634;&#3585;&#3634;&#3619;&#3604;&#3657;&#3634;&#3609;&#3610;&#3619;&#3636;&#3627;&#3634;&#3619;&#3608;&#3640;&#3619;&#3585;&#3636;&#3592;%209%20&#3617;&#3607;&#3619;.%20&#3588;&#3619;&#3633;&#3657;&#3591;&#3607;&#3637;&#3656;%20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5%20&#3614;&#3636;&#3625;&#3603;&#3640;&#3650;&#3621;&#3585;-&#3612;&#3611;&#3618;.&#3648;&#3591;&#3636;&#3609;&#3629;&#3640;&#3604;&#3627;&#3609;&#3640;&#3609;%20&#3607;&#3640;&#3609;&#3585;&#3634;&#3619;&#3624;&#3638;&#3585;&#3625;&#3634;&#3607;&#3640;&#3609;&#3648;&#3619;&#3637;&#3618;&#3609;&#3604;&#3637;%20&#3611;&#3619;&#3632;&#3592;&#3635;&#3616;&#3634;&#3588;&#3648;&#3619;&#3637;&#3618;&#3609;&#3607;&#3637;&#3656;%201%20&#3611;&#3637;&#3585;&#3634;&#3619;&#3624;&#3638;&#3585;&#3625;&#3634;%20256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6%20&#3614;&#3636;&#3625;&#3603;&#3640;&#3650;&#3621;&#3585;-&#3612;&#3611;&#3618;.&#3648;&#3591;&#3636;&#3609;&#3619;&#3633;&#3610;&#3613;&#3634;&#3585;&#3588;&#3656;&#3634;&#3610;&#3635;&#3619;&#3640;&#3591;&#3585;&#3634;&#3619;&#3624;&#3638;&#3585;&#3625;&#3634;%20&#3650;&#3588;&#3619;&#3591;&#3585;&#3634;&#3619;%20Michelin%20Academy%20&#3609;&#3636;&#3588;&#3617;&#3629;&#3640;&#3605;&#3626;&#3634;&#3627;&#3585;&#3619;&#3619;&#3617;&#3648;&#3627;&#3617;&#3619;&#3634;&#3594;%20(.&#3629;&#3624;&#3633;&#3585;&#3604;&#3636;&#3660;&#3626;&#3636;&#3607;&#3608;&#3636;&#3660;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7%20&#3614;&#3636;&#3625;&#3603;&#3640;&#3650;&#3621;&#3585;-&#3612;&#3611;&#3618;.&#3591;&#3610;&#3619;&#3634;&#3618;&#3592;&#3656;&#3634;&#3618;&#3629;&#3639;&#3656;&#3609;%20&#3650;&#3588;&#3619;&#3591;&#3585;&#3634;&#3619;&#3606;&#3656;&#3634;&#3618;&#3607;&#3629;&#3604;&#3629;&#3591;&#3588;&#3660;&#3588;&#3623;&#3634;&#3617;&#3619;&#3641;&#3657;&#3649;&#3621;&#3632;&#3626;&#3639;&#3610;&#3626;&#3634;&#3609;&#3624;&#3634;&#3626;&#3605;&#3619;&#3660;&#3591;&#3634;&#3609;&#3624;&#3636;&#3621;&#3611;&#3660;&#3606;&#3636;&#3656;&#3609;&#3623;&#3633;&#3602;&#3609;&#3608;&#3619;&#3619;&#361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3%20&#3614;&#3636;&#3625;&#3603;&#3640;&#3650;&#3621;&#3585;-&#3612;&#3611;&#3618;.&#3591;&#3610;&#3604;&#3635;&#3648;&#3609;&#3636;&#3609;&#3591;&#3634;&#3609;%20&#3623;&#3633;&#3626;&#3604;&#3640;&#3626;&#3635;&#3609;&#3633;&#3585;&#3591;&#3634;&#360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4%20&#3614;&#3636;&#3625;&#3603;&#3640;&#3650;&#3621;&#3585;-&#3612;&#3611;&#3618;.&#3591;&#3610;&#3604;&#3635;&#3648;&#3609;&#3636;&#3609;&#3591;&#3634;&#3609;%20&#3623;&#3633;&#3626;&#3604;&#3640;&#3648;&#3594;&#3639;&#3657;&#3629;&#3648;&#3614;&#3621;&#3636;&#3591;&#3649;&#3621;&#3632;&#3627;&#3621;&#3656;&#3629;&#3621;&#3639;&#3656;&#360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5%20&#3614;&#3636;&#3625;&#3603;&#3640;&#3650;&#3621;&#3585;-&#3612;&#3611;&#3618;.&#3591;&#3610;&#3604;&#3635;&#3648;&#3609;&#3636;&#3609;&#3591;&#3634;&#3609;%20&#3623;&#3633;&#3626;&#3604;&#3640;&#3585;&#3656;&#3629;&#3626;&#3619;&#3657;&#3634;&#359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6%20&#3614;&#3636;&#3625;&#3603;&#3640;&#3650;&#3621;&#3585;-&#3612;&#3611;&#3618;.&#3591;&#3610;&#3604;&#3635;&#3648;&#3609;&#3636;&#3609;&#3591;&#3634;&#3609;%20&#3623;&#3633;&#3626;&#3604;&#3640;&#3591;&#3634;&#3609;&#3610;&#3657;&#3634;&#3609;&#3591;&#3634;&#3609;&#3588;&#3619;&#3633;&#362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7%20&#3614;&#3636;&#3625;&#3603;&#3640;&#3650;&#3621;&#3585;-&#3612;&#3611;&#3618;.&#3591;&#3610;&#3604;&#3635;&#3648;&#3609;&#3636;&#3609;&#3591;&#3634;&#3609;%20&#3623;&#3633;&#3626;&#3604;&#3640;&#3652;&#3615;&#3615;&#3657;&#3634;&#3649;&#3621;&#3632;&#3623;&#3636;&#3607;&#3618;&#364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592;&#3634;\JA\JA1\&#3648;&#3629;&#3585;&#3626;&#3634;&#3619;&#3591;&#3610;&#3611;&#3619;&#3632;&#3617;&#3634;&#3603;%202565\2.&#3588;&#3640;&#3617;&#3591;&#3610;&#3611;&#3619;&#3632;&#3617;&#3634;&#3603;\2.&#3591;&#3610;&#3611;&#3619;&#3632;&#3617;&#3634;&#3603;&#3612;&#3621;&#3611;&#3619;&#3632;&#3650;&#3618;&#3594;&#3609;&#3660;\2.1%20&#3591;&#3610;&#3604;&#3635;&#3648;&#3609;&#3636;&#3609;&#3591;&#3634;&#3609;\2.1.8%20&#3614;&#3636;&#3625;&#3603;&#3640;&#3650;&#3621;&#3585;-&#3612;&#3611;&#3618;.&#3591;&#3610;&#3604;&#3635;&#3648;&#3609;&#3636;&#3609;&#3591;&#3634;&#3609;%20&#3623;&#3633;&#3626;&#3604;&#3640;&#3585;&#3634;&#3619;&#3648;&#3585;&#3625;&#3605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วัสดุการศึกษา"/>
      <sheetName val="งบตั้งต้น"/>
      <sheetName val="งปม.วิทย์"/>
      <sheetName val="ผปย.พท"/>
      <sheetName val="พท."/>
      <sheetName val="เงินกันเหลือมปี"/>
      <sheetName val="เบิกแทนกัน"/>
      <sheetName val="รับฝาก"/>
      <sheetName val="งานฟาร์ม"/>
    </sheetNames>
    <sheetDataSet>
      <sheetData sheetId="0"/>
      <sheetData sheetId="1"/>
      <sheetData sheetId="2">
        <row r="3">
          <cell r="M3">
            <v>344813</v>
          </cell>
        </row>
        <row r="21">
          <cell r="M21">
            <v>0</v>
          </cell>
        </row>
      </sheetData>
      <sheetData sheetId="3"/>
      <sheetData sheetId="4">
        <row r="13">
          <cell r="I13">
            <v>19400</v>
          </cell>
        </row>
        <row r="14">
          <cell r="I14">
            <v>621585.36</v>
          </cell>
        </row>
        <row r="15">
          <cell r="I15">
            <v>38200</v>
          </cell>
        </row>
        <row r="16">
          <cell r="I16">
            <v>17868.650000000001</v>
          </cell>
        </row>
        <row r="17">
          <cell r="I17">
            <v>22500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53340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3400</v>
          </cell>
          <cell r="E1">
            <v>3206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3419.72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19500.07</v>
          </cell>
          <cell r="E1">
            <v>9460</v>
          </cell>
          <cell r="F1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6000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336000</v>
          </cell>
          <cell r="F1">
            <v>60000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83455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39179.839999999997</v>
          </cell>
          <cell r="F1">
            <v>21883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>
            <v>43240</v>
          </cell>
          <cell r="E1">
            <v>93459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29400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2400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26430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120808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5000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12688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2100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10000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3812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44899</v>
          </cell>
          <cell r="F1">
            <v>14899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24960</v>
          </cell>
        </row>
        <row r="3">
          <cell r="C3">
            <v>55500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5391</v>
          </cell>
        </row>
        <row r="3">
          <cell r="C3">
            <v>9043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17320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1300</v>
          </cell>
        </row>
        <row r="3">
          <cell r="C3">
            <v>1300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85250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104696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13016</v>
          </cell>
          <cell r="E1">
            <v>0</v>
          </cell>
          <cell r="F1">
            <v>3016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50181</v>
          </cell>
          <cell r="F1">
            <v>40181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1660</v>
          </cell>
          <cell r="E1">
            <v>9172</v>
          </cell>
          <cell r="F1">
            <v>4038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7036</v>
          </cell>
          <cell r="E1">
            <v>1100</v>
          </cell>
          <cell r="F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8314.0499999999993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>
            <v>0</v>
          </cell>
          <cell r="E1">
            <v>8187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8" sqref="E8"/>
    </sheetView>
  </sheetViews>
  <sheetFormatPr defaultColWidth="9" defaultRowHeight="18.75"/>
  <cols>
    <col min="1" max="1" width="9.5703125" style="9" bestFit="1" customWidth="1"/>
    <col min="2" max="2" width="15" style="9" bestFit="1" customWidth="1"/>
    <col min="3" max="3" width="9.42578125" style="9" bestFit="1" customWidth="1"/>
    <col min="4" max="4" width="12.85546875" style="9" customWidth="1"/>
    <col min="5" max="5" width="52.28515625" style="58" bestFit="1" customWidth="1"/>
    <col min="6" max="6" width="13" style="9" customWidth="1"/>
    <col min="7" max="7" width="13.28515625" style="9" customWidth="1"/>
    <col min="8" max="8" width="11" style="9" bestFit="1" customWidth="1"/>
    <col min="9" max="9" width="6.85546875" style="9" customWidth="1"/>
    <col min="10" max="10" width="3.28515625" style="9" bestFit="1" customWidth="1"/>
    <col min="11" max="11" width="9" style="9"/>
    <col min="12" max="12" width="11.28515625" style="9" customWidth="1"/>
    <col min="13" max="16384" width="9" style="9"/>
  </cols>
  <sheetData>
    <row r="1" spans="1:12">
      <c r="A1" s="1"/>
      <c r="B1" s="2">
        <f ca="1">TODAY()</f>
        <v>44615</v>
      </c>
      <c r="C1" s="3"/>
      <c r="D1" s="4">
        <f ca="1">TODAY()</f>
        <v>44615</v>
      </c>
      <c r="E1" s="5"/>
      <c r="F1" s="6">
        <f>F3+F11+F17</f>
        <v>1573714.5</v>
      </c>
      <c r="G1" s="6">
        <f>G3+G11+G17</f>
        <v>1117707.01</v>
      </c>
      <c r="H1" s="6">
        <f>H3+H11+H17</f>
        <v>456007.49</v>
      </c>
      <c r="I1" s="7">
        <f>G1*100/F1</f>
        <v>71.023493143133649</v>
      </c>
      <c r="J1" s="8" t="s">
        <v>0</v>
      </c>
      <c r="L1" s="10">
        <f>655704.13-H1</f>
        <v>199696.64000000001</v>
      </c>
    </row>
    <row r="2" spans="1:12">
      <c r="A2" s="1"/>
      <c r="B2" s="11" t="s">
        <v>1</v>
      </c>
      <c r="C2" s="12" t="s">
        <v>2</v>
      </c>
      <c r="D2" s="13" t="s">
        <v>3</v>
      </c>
      <c r="E2" s="14" t="s">
        <v>4</v>
      </c>
      <c r="F2" s="15" t="s">
        <v>3</v>
      </c>
      <c r="G2" s="15" t="s">
        <v>5</v>
      </c>
      <c r="H2" s="16" t="s">
        <v>6</v>
      </c>
      <c r="I2" s="11"/>
      <c r="J2" s="17"/>
    </row>
    <row r="3" spans="1:12" s="1" customFormat="1">
      <c r="B3" s="18" t="s">
        <v>7</v>
      </c>
      <c r="C3" s="19">
        <v>6411410</v>
      </c>
      <c r="D3" s="20">
        <f>SUM(F4:F10)</f>
        <v>1419867.5</v>
      </c>
      <c r="E3" s="21" t="s">
        <v>8</v>
      </c>
      <c r="F3" s="22">
        <f>SUM(F4:F10)</f>
        <v>1419867.5</v>
      </c>
      <c r="G3" s="22">
        <f>SUM(G4:G10)</f>
        <v>1064367.01</v>
      </c>
      <c r="H3" s="23">
        <f>F3-G3</f>
        <v>355500.49</v>
      </c>
      <c r="I3" s="24">
        <f>G3*100/F3</f>
        <v>74.962417972099516</v>
      </c>
      <c r="J3" s="25" t="s">
        <v>0</v>
      </c>
    </row>
    <row r="4" spans="1:12">
      <c r="A4" s="10"/>
      <c r="B4" s="26"/>
      <c r="C4" s="27"/>
      <c r="D4" s="28"/>
      <c r="E4" s="29" t="s">
        <v>9</v>
      </c>
      <c r="F4" s="30">
        <f>35175+35175</f>
        <v>70350</v>
      </c>
      <c r="G4" s="31">
        <f>[1]งปม.วิทย์!I13</f>
        <v>19400</v>
      </c>
      <c r="H4" s="32">
        <f t="shared" ref="H4:H7" si="0">F4-G4</f>
        <v>50950</v>
      </c>
      <c r="I4" s="33">
        <f>G4*100/F4</f>
        <v>27.576403695806682</v>
      </c>
      <c r="J4" s="30" t="s">
        <v>0</v>
      </c>
    </row>
    <row r="5" spans="1:12">
      <c r="B5" s="26"/>
      <c r="C5" s="27"/>
      <c r="D5" s="34"/>
      <c r="E5" s="35" t="s">
        <v>10</v>
      </c>
      <c r="F5" s="36">
        <f>351975+351975</f>
        <v>703950</v>
      </c>
      <c r="G5" s="37">
        <f>SUM([1]งปม.วิทย์!I14:I17)</f>
        <v>700154.01</v>
      </c>
      <c r="H5" s="38">
        <f t="shared" si="0"/>
        <v>3795.9899999999907</v>
      </c>
      <c r="I5" s="39">
        <f>G5*100/F5</f>
        <v>99.460758576603453</v>
      </c>
      <c r="J5" s="36" t="s">
        <v>0</v>
      </c>
    </row>
    <row r="6" spans="1:12">
      <c r="B6" s="26"/>
      <c r="C6" s="27"/>
      <c r="D6" s="34"/>
      <c r="E6" s="35" t="s">
        <v>11</v>
      </c>
      <c r="F6" s="36">
        <v>470150</v>
      </c>
      <c r="G6" s="37">
        <f>[1]วัสดุการศึกษา!M3</f>
        <v>344813</v>
      </c>
      <c r="H6" s="38">
        <f t="shared" si="0"/>
        <v>125337</v>
      </c>
      <c r="I6" s="39">
        <f t="shared" ref="I6:I7" si="1">G6*100/F6</f>
        <v>73.341061363394658</v>
      </c>
      <c r="J6" s="36" t="s">
        <v>0</v>
      </c>
    </row>
    <row r="7" spans="1:12">
      <c r="B7" s="26"/>
      <c r="C7" s="27"/>
      <c r="D7" s="34"/>
      <c r="E7" s="35" t="s">
        <v>12</v>
      </c>
      <c r="F7" s="36">
        <v>155992.5</v>
      </c>
      <c r="G7" s="37">
        <f>[1]วัสดุการศึกษา!M21</f>
        <v>0</v>
      </c>
      <c r="H7" s="38">
        <f t="shared" si="0"/>
        <v>155992.5</v>
      </c>
      <c r="I7" s="39">
        <f t="shared" si="1"/>
        <v>0</v>
      </c>
      <c r="J7" s="36" t="s">
        <v>0</v>
      </c>
      <c r="L7" s="10"/>
    </row>
    <row r="8" spans="1:12">
      <c r="B8" s="26"/>
      <c r="C8" s="27"/>
      <c r="D8" s="34"/>
      <c r="E8" s="35" t="s">
        <v>13</v>
      </c>
      <c r="F8" s="36">
        <v>5827.5</v>
      </c>
      <c r="G8" s="37">
        <v>0</v>
      </c>
      <c r="H8" s="38">
        <f>F8-G8</f>
        <v>5827.5</v>
      </c>
      <c r="I8" s="39">
        <f>G8*100/F8</f>
        <v>0</v>
      </c>
      <c r="J8" s="36" t="s">
        <v>0</v>
      </c>
    </row>
    <row r="9" spans="1:12">
      <c r="B9" s="26"/>
      <c r="C9" s="27"/>
      <c r="D9" s="34"/>
      <c r="E9" s="35" t="s">
        <v>14</v>
      </c>
      <c r="F9" s="36">
        <v>13597.5</v>
      </c>
      <c r="G9" s="37">
        <v>0</v>
      </c>
      <c r="H9" s="38">
        <f>F9-G9</f>
        <v>13597.5</v>
      </c>
      <c r="I9" s="39">
        <f>G9*100/F9</f>
        <v>0</v>
      </c>
      <c r="J9" s="36" t="s">
        <v>0</v>
      </c>
    </row>
    <row r="10" spans="1:12">
      <c r="B10" s="40"/>
      <c r="C10" s="41"/>
      <c r="D10" s="42"/>
      <c r="E10" s="43"/>
      <c r="F10" s="44"/>
      <c r="G10" s="45"/>
      <c r="H10" s="46"/>
      <c r="I10" s="47"/>
      <c r="J10" s="44"/>
    </row>
    <row r="11" spans="1:12" s="1" customFormat="1">
      <c r="B11" s="48" t="s">
        <v>15</v>
      </c>
      <c r="C11" s="49">
        <v>6411410</v>
      </c>
      <c r="D11" s="50">
        <v>19275</v>
      </c>
      <c r="E11" s="21" t="s">
        <v>16</v>
      </c>
      <c r="F11" s="22">
        <f>SUM(F12:F15)</f>
        <v>19275</v>
      </c>
      <c r="G11" s="22">
        <f>SUM(G12:G15)</f>
        <v>0</v>
      </c>
      <c r="H11" s="23">
        <f>F11-G11</f>
        <v>19275</v>
      </c>
      <c r="I11" s="51">
        <f>G11*100/F11</f>
        <v>0</v>
      </c>
      <c r="J11" s="52" t="s">
        <v>0</v>
      </c>
    </row>
    <row r="12" spans="1:12">
      <c r="B12" s="26"/>
      <c r="C12" s="27"/>
      <c r="D12" s="34"/>
      <c r="E12" s="35" t="s">
        <v>17</v>
      </c>
      <c r="F12" s="36">
        <v>19275</v>
      </c>
      <c r="G12" s="31">
        <f>[1]งปม.วิทย์!I19</f>
        <v>0</v>
      </c>
      <c r="H12" s="32">
        <f>F12-G12</f>
        <v>19275</v>
      </c>
      <c r="I12" s="33">
        <f>G12*100/F12</f>
        <v>0</v>
      </c>
      <c r="J12" s="30" t="s">
        <v>0</v>
      </c>
    </row>
    <row r="13" spans="1:12">
      <c r="B13" s="26"/>
      <c r="C13" s="27"/>
      <c r="D13" s="34"/>
      <c r="E13" s="35"/>
      <c r="F13" s="36"/>
      <c r="G13" s="37"/>
      <c r="H13" s="38"/>
      <c r="I13" s="39"/>
      <c r="J13" s="36"/>
    </row>
    <row r="14" spans="1:12">
      <c r="B14" s="26"/>
      <c r="C14" s="27"/>
      <c r="D14" s="34"/>
      <c r="E14" s="35"/>
      <c r="F14" s="36"/>
      <c r="G14" s="37"/>
      <c r="H14" s="38"/>
      <c r="I14" s="39"/>
      <c r="J14" s="36"/>
    </row>
    <row r="15" spans="1:12">
      <c r="B15" s="26"/>
      <c r="C15" s="27"/>
      <c r="D15" s="34"/>
      <c r="E15" s="35"/>
      <c r="F15" s="36"/>
      <c r="G15" s="37"/>
      <c r="H15" s="38"/>
      <c r="I15" s="39"/>
      <c r="J15" s="36"/>
    </row>
    <row r="16" spans="1:12">
      <c r="B16" s="26"/>
      <c r="C16" s="27"/>
      <c r="D16" s="34"/>
      <c r="E16" s="35"/>
      <c r="F16" s="36"/>
      <c r="G16" s="37"/>
      <c r="H16" s="38"/>
      <c r="I16" s="39"/>
      <c r="J16" s="36"/>
    </row>
    <row r="17" spans="2:12" ht="37.5">
      <c r="B17" s="53" t="s">
        <v>18</v>
      </c>
      <c r="C17" s="54">
        <v>6411410</v>
      </c>
      <c r="D17" s="55">
        <v>134572</v>
      </c>
      <c r="E17" s="56" t="s">
        <v>19</v>
      </c>
      <c r="F17" s="25">
        <f>SUM(F18:F20)</f>
        <v>134572</v>
      </c>
      <c r="G17" s="25">
        <f>SUM(G18:G20)</f>
        <v>53340</v>
      </c>
      <c r="H17" s="55">
        <f>F17-G17</f>
        <v>81232</v>
      </c>
      <c r="I17" s="24">
        <f t="shared" ref="I17:I20" si="2">G17*100/F17</f>
        <v>39.636774366138575</v>
      </c>
      <c r="J17" s="25" t="s">
        <v>0</v>
      </c>
      <c r="K17" s="57"/>
      <c r="L17" s="1"/>
    </row>
    <row r="18" spans="2:12" ht="56.25">
      <c r="B18" s="26"/>
      <c r="C18" s="27"/>
      <c r="D18" s="28"/>
      <c r="E18" s="35" t="s">
        <v>20</v>
      </c>
      <c r="F18" s="36">
        <v>42489.5</v>
      </c>
      <c r="G18" s="37">
        <f>[1]งปม.วิทย์!I24</f>
        <v>0</v>
      </c>
      <c r="H18" s="38">
        <f>F18-G18</f>
        <v>42489.5</v>
      </c>
      <c r="I18" s="39">
        <f t="shared" si="2"/>
        <v>0</v>
      </c>
      <c r="J18" s="36" t="s">
        <v>0</v>
      </c>
    </row>
    <row r="19" spans="2:12" ht="56.25">
      <c r="B19" s="26"/>
      <c r="C19" s="27"/>
      <c r="D19" s="28"/>
      <c r="E19" s="35" t="s">
        <v>21</v>
      </c>
      <c r="F19" s="36">
        <v>35500</v>
      </c>
      <c r="G19" s="37">
        <f>[1]งปม.วิทย์!I25</f>
        <v>0</v>
      </c>
      <c r="H19" s="38">
        <f t="shared" ref="H19:H21" si="3">F19-G19</f>
        <v>35500</v>
      </c>
      <c r="I19" s="39">
        <f t="shared" si="2"/>
        <v>0</v>
      </c>
      <c r="J19" s="36" t="s">
        <v>0</v>
      </c>
    </row>
    <row r="20" spans="2:12" ht="75">
      <c r="B20" s="26"/>
      <c r="C20" s="27"/>
      <c r="D20" s="28"/>
      <c r="E20" s="35" t="s">
        <v>22</v>
      </c>
      <c r="F20" s="36">
        <v>56582.5</v>
      </c>
      <c r="G20" s="37">
        <f>[1]งปม.วิทย์!I26</f>
        <v>53340</v>
      </c>
      <c r="H20" s="38">
        <f t="shared" si="3"/>
        <v>3242.5</v>
      </c>
      <c r="I20" s="39">
        <f t="shared" si="2"/>
        <v>94.269429593955735</v>
      </c>
      <c r="J20" s="36" t="s">
        <v>0</v>
      </c>
    </row>
    <row r="21" spans="2:12">
      <c r="B21" s="26"/>
      <c r="C21" s="27"/>
      <c r="D21" s="28"/>
      <c r="E21" s="35"/>
      <c r="F21" s="36"/>
      <c r="G21" s="37"/>
      <c r="H21" s="38">
        <f t="shared" si="3"/>
        <v>0</v>
      </c>
      <c r="I21" s="39"/>
      <c r="J21" s="36" t="s">
        <v>0</v>
      </c>
    </row>
  </sheetData>
  <sheetProtection algorithmName="SHA-512" hashValue="GpqHvYA4HYeHKPauy17dd90UivHGhumyXVO3W+64iJ1A/puDLM7Cy195nevK7o7gnxmZrX3PFcfb0npxjcYxVQ==" saltValue="0lC8Z6x98opDdqKLwkuG/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B10" sqref="B10"/>
    </sheetView>
  </sheetViews>
  <sheetFormatPr defaultColWidth="9" defaultRowHeight="18.75"/>
  <cols>
    <col min="1" max="1" width="9.140625" style="66" customWidth="1"/>
    <col min="2" max="2" width="43.5703125" style="58" bestFit="1" customWidth="1"/>
    <col min="3" max="3" width="11.5703125" style="66" customWidth="1"/>
    <col min="4" max="5" width="8.7109375" style="86" bestFit="1" customWidth="1"/>
    <col min="6" max="6" width="11" style="66" bestFit="1" customWidth="1"/>
    <col min="7" max="7" width="11.7109375" style="87" customWidth="1"/>
    <col min="8" max="8" width="6.85546875" style="66" customWidth="1"/>
    <col min="9" max="9" width="3.28515625" style="66" bestFit="1" customWidth="1"/>
    <col min="10" max="10" width="33.42578125" style="58" bestFit="1" customWidth="1"/>
    <col min="11" max="16384" width="9" style="66"/>
  </cols>
  <sheetData>
    <row r="1" spans="1:10">
      <c r="A1" s="59">
        <f ca="1">TODAY()</f>
        <v>44615</v>
      </c>
      <c r="B1" s="60" t="s">
        <v>23</v>
      </c>
      <c r="C1" s="61">
        <f>SUBTOTAL(9,C3:C70)</f>
        <v>2162718</v>
      </c>
      <c r="D1" s="62"/>
      <c r="E1" s="62"/>
      <c r="F1" s="61">
        <f>SUBTOTAL(9,F3:F61)</f>
        <v>1110855.6799999999</v>
      </c>
      <c r="G1" s="63">
        <f>C1-F1</f>
        <v>1051862.32</v>
      </c>
      <c r="H1" s="64">
        <f>F1*100/C1</f>
        <v>51.363870832905633</v>
      </c>
      <c r="I1" s="65" t="s">
        <v>0</v>
      </c>
      <c r="J1" s="5" t="s">
        <v>24</v>
      </c>
    </row>
    <row r="2" spans="1:10">
      <c r="A2" s="12" t="s">
        <v>25</v>
      </c>
      <c r="B2" s="14" t="s">
        <v>26</v>
      </c>
      <c r="C2" s="67" t="s">
        <v>27</v>
      </c>
      <c r="D2" s="68" t="s">
        <v>28</v>
      </c>
      <c r="E2" s="68" t="s">
        <v>29</v>
      </c>
      <c r="F2" s="15" t="s">
        <v>5</v>
      </c>
      <c r="G2" s="69" t="s">
        <v>6</v>
      </c>
      <c r="H2" s="70"/>
      <c r="I2" s="71"/>
    </row>
    <row r="3" spans="1:10" ht="37.5">
      <c r="A3" s="72">
        <v>1</v>
      </c>
      <c r="B3" s="35" t="s">
        <v>30</v>
      </c>
      <c r="C3" s="73">
        <v>155500</v>
      </c>
      <c r="D3" s="74">
        <f>[2]Sheet1!$E$1</f>
        <v>93459</v>
      </c>
      <c r="E3" s="74">
        <v>0</v>
      </c>
      <c r="F3" s="75">
        <f>[2]Sheet1!$D$1</f>
        <v>43240</v>
      </c>
      <c r="G3" s="76">
        <f>C3-D3+E3-F3</f>
        <v>18801</v>
      </c>
      <c r="H3" s="77">
        <f>F3*100/C3</f>
        <v>27.807073954983924</v>
      </c>
      <c r="I3" s="73" t="s">
        <v>0</v>
      </c>
      <c r="J3" s="78" t="s">
        <v>31</v>
      </c>
    </row>
    <row r="4" spans="1:10" ht="32.25">
      <c r="A4" s="72">
        <v>2</v>
      </c>
      <c r="B4" s="35" t="s">
        <v>32</v>
      </c>
      <c r="C4" s="73">
        <v>30000</v>
      </c>
      <c r="D4" s="74">
        <v>0</v>
      </c>
      <c r="E4" s="74">
        <f>[3]Sheet1!$F$1</f>
        <v>14899</v>
      </c>
      <c r="F4" s="75">
        <f>[3]Sheet1!$D$1</f>
        <v>44899</v>
      </c>
      <c r="G4" s="76">
        <f t="shared" ref="G4:G34" si="0">C4-D4+E4-F4</f>
        <v>0</v>
      </c>
      <c r="H4" s="77">
        <f>F4*100/C4</f>
        <v>149.66333333333333</v>
      </c>
      <c r="I4" s="73" t="s">
        <v>0</v>
      </c>
      <c r="J4" s="78" t="s">
        <v>33</v>
      </c>
    </row>
    <row r="5" spans="1:10" ht="48">
      <c r="A5" s="72">
        <v>3</v>
      </c>
      <c r="B5" s="35" t="s">
        <v>34</v>
      </c>
      <c r="C5" s="73">
        <v>10000</v>
      </c>
      <c r="D5" s="74">
        <f>[4]Sheet1!$E$1</f>
        <v>0</v>
      </c>
      <c r="E5" s="74">
        <f>[4]Sheet1!$F$1</f>
        <v>3016</v>
      </c>
      <c r="F5" s="75">
        <f>[4]Sheet1!$D$1</f>
        <v>13016</v>
      </c>
      <c r="G5" s="76">
        <f t="shared" si="0"/>
        <v>0</v>
      </c>
      <c r="H5" s="77">
        <f t="shared" ref="H5:H39" si="1">F5*100/C5</f>
        <v>130.16</v>
      </c>
      <c r="I5" s="73" t="s">
        <v>0</v>
      </c>
      <c r="J5" s="78" t="s">
        <v>35</v>
      </c>
    </row>
    <row r="6" spans="1:10" ht="48">
      <c r="A6" s="72">
        <v>4</v>
      </c>
      <c r="B6" s="35" t="s">
        <v>36</v>
      </c>
      <c r="C6" s="73">
        <v>10000</v>
      </c>
      <c r="D6" s="74">
        <v>0</v>
      </c>
      <c r="E6" s="74">
        <f>[5]Sheet1!$F$1</f>
        <v>40181</v>
      </c>
      <c r="F6" s="75">
        <f>[5]Sheet1!$D$1</f>
        <v>50181</v>
      </c>
      <c r="G6" s="76">
        <f>C6-D6+E6-F6</f>
        <v>0</v>
      </c>
      <c r="H6" s="77">
        <f t="shared" si="1"/>
        <v>501.81</v>
      </c>
      <c r="I6" s="73" t="s">
        <v>0</v>
      </c>
      <c r="J6" s="78" t="s">
        <v>37</v>
      </c>
    </row>
    <row r="7" spans="1:10" ht="32.25">
      <c r="A7" s="72">
        <v>5</v>
      </c>
      <c r="B7" s="35" t="s">
        <v>38</v>
      </c>
      <c r="C7" s="73">
        <v>10000</v>
      </c>
      <c r="D7" s="74">
        <f>[6]Sheet1!$E$1</f>
        <v>9172</v>
      </c>
      <c r="E7" s="74">
        <f>[6]Sheet1!$F$1</f>
        <v>4038</v>
      </c>
      <c r="F7" s="75">
        <f>[6]Sheet1!$D$1</f>
        <v>1660</v>
      </c>
      <c r="G7" s="76">
        <f t="shared" si="0"/>
        <v>3206</v>
      </c>
      <c r="H7" s="77">
        <f>F7*100/C7</f>
        <v>16.600000000000001</v>
      </c>
      <c r="I7" s="73" t="s">
        <v>0</v>
      </c>
      <c r="J7" s="78" t="s">
        <v>39</v>
      </c>
    </row>
    <row r="8" spans="1:10">
      <c r="A8" s="72">
        <v>6</v>
      </c>
      <c r="B8" s="35" t="s">
        <v>40</v>
      </c>
      <c r="C8" s="73">
        <v>10000</v>
      </c>
      <c r="D8" s="74">
        <f>[7]Sheet1!$E$1</f>
        <v>1100</v>
      </c>
      <c r="E8" s="74">
        <f>[7]Sheet1!$F$1</f>
        <v>0</v>
      </c>
      <c r="F8" s="75">
        <f>[7]Sheet1!$D$1</f>
        <v>7036</v>
      </c>
      <c r="G8" s="76">
        <f t="shared" si="0"/>
        <v>1864</v>
      </c>
      <c r="H8" s="77">
        <f t="shared" si="1"/>
        <v>70.36</v>
      </c>
      <c r="I8" s="73" t="s">
        <v>0</v>
      </c>
      <c r="J8" s="78" t="s">
        <v>41</v>
      </c>
    </row>
    <row r="9" spans="1:10">
      <c r="A9" s="72">
        <v>7</v>
      </c>
      <c r="B9" s="35" t="s">
        <v>42</v>
      </c>
      <c r="C9" s="73">
        <v>10000</v>
      </c>
      <c r="D9" s="74">
        <v>0</v>
      </c>
      <c r="E9" s="74">
        <v>0</v>
      </c>
      <c r="F9" s="75">
        <f>[8]Sheet1!$D$1</f>
        <v>8314.0499999999993</v>
      </c>
      <c r="G9" s="76">
        <f t="shared" si="0"/>
        <v>1685.9500000000007</v>
      </c>
      <c r="H9" s="77">
        <f t="shared" si="1"/>
        <v>83.140499999999989</v>
      </c>
      <c r="I9" s="73" t="s">
        <v>0</v>
      </c>
    </row>
    <row r="10" spans="1:10" ht="48">
      <c r="A10" s="72">
        <v>8</v>
      </c>
      <c r="B10" s="35" t="s">
        <v>43</v>
      </c>
      <c r="C10" s="73">
        <v>10000</v>
      </c>
      <c r="D10" s="74">
        <f>[9]Sheet1!$E$1</f>
        <v>8187</v>
      </c>
      <c r="E10" s="74">
        <v>0</v>
      </c>
      <c r="F10" s="75">
        <f>[9]Sheet1!$D$1</f>
        <v>0</v>
      </c>
      <c r="G10" s="76">
        <f t="shared" si="0"/>
        <v>1813</v>
      </c>
      <c r="H10" s="77">
        <f t="shared" si="1"/>
        <v>0</v>
      </c>
      <c r="I10" s="73" t="s">
        <v>0</v>
      </c>
      <c r="J10" s="78" t="s">
        <v>44</v>
      </c>
    </row>
    <row r="11" spans="1:10">
      <c r="A11" s="72">
        <v>9</v>
      </c>
      <c r="B11" s="35" t="s">
        <v>45</v>
      </c>
      <c r="C11" s="73">
        <v>10000</v>
      </c>
      <c r="D11" s="74">
        <f>[10]Sheet1!$E$1</f>
        <v>3206</v>
      </c>
      <c r="E11" s="74">
        <v>0</v>
      </c>
      <c r="F11" s="75">
        <f>[10]Sheet1!$D$1</f>
        <v>3400</v>
      </c>
      <c r="G11" s="76">
        <f t="shared" si="0"/>
        <v>3394</v>
      </c>
      <c r="H11" s="77">
        <f t="shared" si="1"/>
        <v>34</v>
      </c>
      <c r="I11" s="73" t="s">
        <v>0</v>
      </c>
      <c r="J11" s="58" t="s">
        <v>46</v>
      </c>
    </row>
    <row r="12" spans="1:10">
      <c r="A12" s="72">
        <v>10</v>
      </c>
      <c r="B12" s="35" t="s">
        <v>47</v>
      </c>
      <c r="C12" s="73">
        <v>5000</v>
      </c>
      <c r="D12" s="74">
        <v>0</v>
      </c>
      <c r="E12" s="74">
        <v>0</v>
      </c>
      <c r="F12" s="75">
        <f>[11]Sheet1!$D$1</f>
        <v>3419.72</v>
      </c>
      <c r="G12" s="79">
        <f t="shared" si="0"/>
        <v>1580.2800000000002</v>
      </c>
      <c r="H12" s="77">
        <f t="shared" si="1"/>
        <v>68.394400000000005</v>
      </c>
      <c r="I12" s="73" t="s">
        <v>0</v>
      </c>
    </row>
    <row r="13" spans="1:10">
      <c r="A13" s="72">
        <v>11</v>
      </c>
      <c r="B13" s="35" t="s">
        <v>48</v>
      </c>
      <c r="C13" s="73">
        <v>100000</v>
      </c>
      <c r="D13" s="74">
        <v>0</v>
      </c>
      <c r="E13" s="74">
        <v>0</v>
      </c>
      <c r="F13" s="75">
        <f>[12]Sheet1!$D$1</f>
        <v>0</v>
      </c>
      <c r="G13" s="79">
        <f t="shared" si="0"/>
        <v>100000</v>
      </c>
      <c r="H13" s="77">
        <f t="shared" si="1"/>
        <v>0</v>
      </c>
      <c r="I13" s="73" t="s">
        <v>0</v>
      </c>
    </row>
    <row r="14" spans="1:10">
      <c r="A14" s="72">
        <v>12</v>
      </c>
      <c r="B14" s="35" t="s">
        <v>49</v>
      </c>
      <c r="C14" s="73">
        <v>20000</v>
      </c>
      <c r="D14" s="74">
        <v>0</v>
      </c>
      <c r="E14" s="74">
        <v>0</v>
      </c>
      <c r="F14" s="75">
        <f>[13]Sheet1!$D$1</f>
        <v>0</v>
      </c>
      <c r="G14" s="79">
        <f t="shared" si="0"/>
        <v>20000</v>
      </c>
      <c r="H14" s="77">
        <f t="shared" si="1"/>
        <v>0</v>
      </c>
      <c r="I14" s="73" t="s">
        <v>0</v>
      </c>
    </row>
    <row r="15" spans="1:10">
      <c r="A15" s="72">
        <v>13</v>
      </c>
      <c r="B15" s="35" t="s">
        <v>50</v>
      </c>
      <c r="C15" s="73">
        <v>10000</v>
      </c>
      <c r="D15" s="74">
        <v>0</v>
      </c>
      <c r="E15" s="74">
        <v>0</v>
      </c>
      <c r="F15" s="75">
        <f>[14]Sheet1!$D$1</f>
        <v>0</v>
      </c>
      <c r="G15" s="79">
        <f t="shared" si="0"/>
        <v>10000</v>
      </c>
      <c r="H15" s="77">
        <f t="shared" si="1"/>
        <v>0</v>
      </c>
      <c r="I15" s="73" t="s">
        <v>0</v>
      </c>
    </row>
    <row r="16" spans="1:10" ht="32.25">
      <c r="A16" s="72">
        <v>14</v>
      </c>
      <c r="B16" s="35" t="s">
        <v>51</v>
      </c>
      <c r="C16" s="73">
        <v>50000</v>
      </c>
      <c r="D16" s="74">
        <f>[15]Sheet1!$E$1</f>
        <v>9460</v>
      </c>
      <c r="E16" s="74">
        <f>[15]Sheet1!$F$1</f>
        <v>0</v>
      </c>
      <c r="F16" s="75">
        <f>[15]Sheet1!$D$1</f>
        <v>19500.07</v>
      </c>
      <c r="G16" s="79">
        <f>C16-D16+E16-F16</f>
        <v>21039.93</v>
      </c>
      <c r="H16" s="77">
        <f t="shared" si="1"/>
        <v>39.000140000000002</v>
      </c>
      <c r="I16" s="73" t="s">
        <v>0</v>
      </c>
      <c r="J16" s="78" t="s">
        <v>52</v>
      </c>
    </row>
    <row r="17" spans="1:11" ht="37.5">
      <c r="A17" s="72">
        <v>15</v>
      </c>
      <c r="B17" s="35" t="s">
        <v>53</v>
      </c>
      <c r="C17" s="73">
        <v>18000</v>
      </c>
      <c r="D17" s="74">
        <v>0</v>
      </c>
      <c r="E17" s="74">
        <v>0</v>
      </c>
      <c r="F17" s="75">
        <f>[16]Sheet1!$D$1</f>
        <v>6000</v>
      </c>
      <c r="G17" s="79">
        <f t="shared" si="0"/>
        <v>12000</v>
      </c>
      <c r="H17" s="77">
        <f t="shared" si="1"/>
        <v>33.333333333333336</v>
      </c>
      <c r="I17" s="73" t="s">
        <v>0</v>
      </c>
    </row>
    <row r="18" spans="1:11" ht="37.5">
      <c r="A18" s="72">
        <v>16</v>
      </c>
      <c r="B18" s="35" t="s">
        <v>54</v>
      </c>
      <c r="C18" s="73">
        <v>612000</v>
      </c>
      <c r="D18" s="74">
        <v>0</v>
      </c>
      <c r="E18" s="74">
        <f>[17]Sheet1!$F$1</f>
        <v>60000</v>
      </c>
      <c r="F18" s="75">
        <f>[17]Sheet1!$D$1</f>
        <v>336000</v>
      </c>
      <c r="G18" s="79">
        <f>C18-D18+E18-F18</f>
        <v>336000</v>
      </c>
      <c r="H18" s="77">
        <f t="shared" si="1"/>
        <v>54.901960784313722</v>
      </c>
      <c r="I18" s="73" t="s">
        <v>0</v>
      </c>
      <c r="J18" s="78" t="s">
        <v>55</v>
      </c>
    </row>
    <row r="19" spans="1:11" ht="37.5">
      <c r="A19" s="72">
        <v>17</v>
      </c>
      <c r="B19" s="35" t="s">
        <v>56</v>
      </c>
      <c r="C19" s="73">
        <v>216000</v>
      </c>
      <c r="D19" s="74">
        <v>0</v>
      </c>
      <c r="E19" s="74">
        <v>0</v>
      </c>
      <c r="F19" s="75">
        <f>[18]Sheet1!$D$1</f>
        <v>83455</v>
      </c>
      <c r="G19" s="79">
        <f t="shared" si="0"/>
        <v>132545</v>
      </c>
      <c r="H19" s="77">
        <f t="shared" si="1"/>
        <v>38.636574074074076</v>
      </c>
      <c r="I19" s="73" t="s">
        <v>0</v>
      </c>
      <c r="K19" s="80"/>
    </row>
    <row r="20" spans="1:11" ht="37.5">
      <c r="A20" s="72">
        <v>18</v>
      </c>
      <c r="B20" s="35" t="s">
        <v>57</v>
      </c>
      <c r="C20" s="73">
        <v>47560</v>
      </c>
      <c r="D20" s="74">
        <v>0</v>
      </c>
      <c r="E20" s="74">
        <f>[19]Sheet1!$F$1</f>
        <v>21883</v>
      </c>
      <c r="F20" s="75">
        <f>[19]Sheet1!$D$1</f>
        <v>39179.839999999997</v>
      </c>
      <c r="G20" s="79">
        <f t="shared" si="0"/>
        <v>30263.160000000003</v>
      </c>
      <c r="H20" s="77">
        <f>F20*100/C20</f>
        <v>82.379814970563487</v>
      </c>
      <c r="I20" s="73" t="s">
        <v>0</v>
      </c>
      <c r="J20" s="78" t="s">
        <v>58</v>
      </c>
    </row>
    <row r="21" spans="1:11" ht="37.5">
      <c r="A21" s="72">
        <v>19</v>
      </c>
      <c r="B21" s="35" t="s">
        <v>59</v>
      </c>
      <c r="C21" s="73">
        <v>66000</v>
      </c>
      <c r="D21" s="74">
        <v>0</v>
      </c>
      <c r="E21" s="74">
        <v>0</v>
      </c>
      <c r="F21" s="75">
        <f>[20]Sheet1!$D$1</f>
        <v>29400</v>
      </c>
      <c r="G21" s="79">
        <f t="shared" si="0"/>
        <v>36600</v>
      </c>
      <c r="H21" s="77">
        <f t="shared" si="1"/>
        <v>44.545454545454547</v>
      </c>
      <c r="I21" s="73" t="s">
        <v>0</v>
      </c>
    </row>
    <row r="22" spans="1:11" ht="37.5">
      <c r="A22" s="72">
        <v>20</v>
      </c>
      <c r="B22" s="35" t="s">
        <v>60</v>
      </c>
      <c r="C22" s="73">
        <v>29500</v>
      </c>
      <c r="D22" s="74">
        <f>10102+9331</f>
        <v>19433</v>
      </c>
      <c r="E22" s="74">
        <v>0</v>
      </c>
      <c r="F22" s="75">
        <v>0</v>
      </c>
      <c r="G22" s="79">
        <f>C22-D22+E22-F22</f>
        <v>10067</v>
      </c>
      <c r="H22" s="77">
        <f>F22*100/C22</f>
        <v>0</v>
      </c>
      <c r="I22" s="73" t="s">
        <v>0</v>
      </c>
      <c r="J22" s="78" t="s">
        <v>61</v>
      </c>
    </row>
    <row r="23" spans="1:11" ht="56.25">
      <c r="A23" s="81">
        <v>21</v>
      </c>
      <c r="B23" s="35" t="s">
        <v>62</v>
      </c>
      <c r="C23" s="73">
        <v>2400</v>
      </c>
      <c r="D23" s="74">
        <v>0</v>
      </c>
      <c r="E23" s="74">
        <v>0</v>
      </c>
      <c r="F23" s="75">
        <f>[21]Sheet1!$D$1</f>
        <v>2400</v>
      </c>
      <c r="G23" s="79">
        <f t="shared" si="0"/>
        <v>0</v>
      </c>
      <c r="H23" s="77">
        <f t="shared" si="1"/>
        <v>100</v>
      </c>
      <c r="I23" s="73" t="s">
        <v>0</v>
      </c>
    </row>
    <row r="24" spans="1:11" ht="56.25">
      <c r="A24" s="72">
        <v>22</v>
      </c>
      <c r="B24" s="35" t="s">
        <v>63</v>
      </c>
      <c r="C24" s="73">
        <v>31320</v>
      </c>
      <c r="D24" s="74">
        <v>0</v>
      </c>
      <c r="E24" s="74">
        <v>0</v>
      </c>
      <c r="F24" s="75">
        <f>[22]Sheet1!$D$1</f>
        <v>26430</v>
      </c>
      <c r="G24" s="79">
        <f t="shared" si="0"/>
        <v>4890</v>
      </c>
      <c r="H24" s="77">
        <f t="shared" si="1"/>
        <v>84.386973180076623</v>
      </c>
      <c r="I24" s="73" t="s">
        <v>0</v>
      </c>
      <c r="J24" s="58" t="s">
        <v>64</v>
      </c>
    </row>
    <row r="25" spans="1:11" ht="37.5">
      <c r="A25" s="72">
        <v>23</v>
      </c>
      <c r="B25" s="35" t="s">
        <v>65</v>
      </c>
      <c r="C25" s="73">
        <v>150048</v>
      </c>
      <c r="D25" s="74">
        <v>0</v>
      </c>
      <c r="E25" s="74">
        <v>0</v>
      </c>
      <c r="F25" s="75">
        <f>[23]Sheet1!$D$1</f>
        <v>120808</v>
      </c>
      <c r="G25" s="79">
        <f t="shared" si="0"/>
        <v>29240</v>
      </c>
      <c r="H25" s="77">
        <f t="shared" si="1"/>
        <v>80.512902537854558</v>
      </c>
      <c r="I25" s="73" t="s">
        <v>0</v>
      </c>
    </row>
    <row r="26" spans="1:11" ht="37.5">
      <c r="A26" s="72">
        <v>24</v>
      </c>
      <c r="B26" s="35" t="s">
        <v>66</v>
      </c>
      <c r="C26" s="73">
        <v>5000</v>
      </c>
      <c r="D26" s="74">
        <v>0</v>
      </c>
      <c r="E26" s="74">
        <v>0</v>
      </c>
      <c r="F26" s="75">
        <f>[24]Sheet1!$D$1</f>
        <v>5000</v>
      </c>
      <c r="G26" s="79">
        <f t="shared" si="0"/>
        <v>0</v>
      </c>
      <c r="H26" s="77">
        <f t="shared" si="1"/>
        <v>100</v>
      </c>
      <c r="I26" s="73" t="s">
        <v>0</v>
      </c>
      <c r="J26" s="58" t="s">
        <v>64</v>
      </c>
    </row>
    <row r="27" spans="1:11" ht="75">
      <c r="A27" s="72">
        <v>25</v>
      </c>
      <c r="B27" s="35" t="s">
        <v>67</v>
      </c>
      <c r="C27" s="73">
        <v>12688</v>
      </c>
      <c r="D27" s="74">
        <v>0</v>
      </c>
      <c r="E27" s="74">
        <v>0</v>
      </c>
      <c r="F27" s="75">
        <f>[25]Sheet1!$D$1</f>
        <v>12688</v>
      </c>
      <c r="G27" s="79">
        <f t="shared" si="0"/>
        <v>0</v>
      </c>
      <c r="H27" s="77">
        <f t="shared" si="1"/>
        <v>100</v>
      </c>
      <c r="I27" s="73" t="s">
        <v>0</v>
      </c>
    </row>
    <row r="28" spans="1:11" ht="56.25">
      <c r="A28" s="72">
        <v>26</v>
      </c>
      <c r="B28" s="35" t="s">
        <v>68</v>
      </c>
      <c r="C28" s="73">
        <v>5442</v>
      </c>
      <c r="D28" s="74">
        <v>0</v>
      </c>
      <c r="E28" s="74">
        <v>0</v>
      </c>
      <c r="F28" s="75">
        <f>[26]Sheet1!$D$1</f>
        <v>2100</v>
      </c>
      <c r="G28" s="79">
        <f t="shared" si="0"/>
        <v>3342</v>
      </c>
      <c r="H28" s="77">
        <f t="shared" si="1"/>
        <v>38.588754134509372</v>
      </c>
      <c r="I28" s="73" t="s">
        <v>0</v>
      </c>
    </row>
    <row r="29" spans="1:11" ht="37.5">
      <c r="A29" s="72">
        <v>27</v>
      </c>
      <c r="B29" s="35" t="s">
        <v>69</v>
      </c>
      <c r="C29" s="73">
        <v>27490</v>
      </c>
      <c r="D29" s="74">
        <v>0</v>
      </c>
      <c r="E29" s="74">
        <v>0</v>
      </c>
      <c r="F29" s="75">
        <f>[27]Sheet1!$D$1</f>
        <v>0</v>
      </c>
      <c r="G29" s="79">
        <f t="shared" si="0"/>
        <v>27490</v>
      </c>
      <c r="H29" s="77">
        <f t="shared" si="1"/>
        <v>0</v>
      </c>
      <c r="I29" s="73" t="s">
        <v>0</v>
      </c>
    </row>
    <row r="30" spans="1:11" ht="37.5">
      <c r="A30" s="72">
        <v>28</v>
      </c>
      <c r="B30" s="35" t="s">
        <v>70</v>
      </c>
      <c r="C30" s="73">
        <v>10000</v>
      </c>
      <c r="D30" s="74">
        <v>0</v>
      </c>
      <c r="E30" s="74">
        <v>0</v>
      </c>
      <c r="F30" s="75">
        <f>[28]Sheet1!$D$1</f>
        <v>10000</v>
      </c>
      <c r="G30" s="79">
        <f t="shared" si="0"/>
        <v>0</v>
      </c>
      <c r="H30" s="77">
        <f t="shared" si="1"/>
        <v>100</v>
      </c>
      <c r="I30" s="73" t="s">
        <v>0</v>
      </c>
      <c r="J30" s="58" t="s">
        <v>64</v>
      </c>
    </row>
    <row r="31" spans="1:11" ht="37.5">
      <c r="A31" s="72">
        <v>29</v>
      </c>
      <c r="B31" s="35" t="s">
        <v>71</v>
      </c>
      <c r="C31" s="82">
        <v>52865</v>
      </c>
      <c r="D31" s="74">
        <v>0</v>
      </c>
      <c r="E31" s="74">
        <v>0</v>
      </c>
      <c r="F31" s="82"/>
      <c r="G31" s="79">
        <f t="shared" si="0"/>
        <v>52865</v>
      </c>
      <c r="H31" s="77">
        <f t="shared" si="1"/>
        <v>0</v>
      </c>
      <c r="I31" s="73" t="s">
        <v>0</v>
      </c>
    </row>
    <row r="32" spans="1:11" ht="56.25">
      <c r="A32" s="72">
        <v>30</v>
      </c>
      <c r="B32" s="35" t="s">
        <v>72</v>
      </c>
      <c r="C32" s="73">
        <v>3812</v>
      </c>
      <c r="D32" s="74">
        <v>0</v>
      </c>
      <c r="E32" s="74">
        <v>0</v>
      </c>
      <c r="F32" s="75">
        <f>[29]Sheet1!$D$1</f>
        <v>3812</v>
      </c>
      <c r="G32" s="79">
        <f t="shared" si="0"/>
        <v>0</v>
      </c>
      <c r="H32" s="77">
        <f t="shared" si="1"/>
        <v>100</v>
      </c>
      <c r="I32" s="73" t="s">
        <v>0</v>
      </c>
    </row>
    <row r="33" spans="1:10" ht="56.25">
      <c r="A33" s="72">
        <v>31</v>
      </c>
      <c r="B33" s="35" t="s">
        <v>73</v>
      </c>
      <c r="C33" s="75">
        <f>[30]Sheet1!$C$3</f>
        <v>55500</v>
      </c>
      <c r="D33" s="74">
        <v>0</v>
      </c>
      <c r="E33" s="74">
        <v>0</v>
      </c>
      <c r="F33" s="75">
        <f>[30]Sheet1!$D$1</f>
        <v>24960</v>
      </c>
      <c r="G33" s="79">
        <f t="shared" si="0"/>
        <v>30540</v>
      </c>
      <c r="H33" s="77">
        <f t="shared" si="1"/>
        <v>44.972972972972975</v>
      </c>
      <c r="I33" s="73" t="s">
        <v>0</v>
      </c>
      <c r="J33" s="58" t="s">
        <v>64</v>
      </c>
    </row>
    <row r="34" spans="1:10" ht="56.25">
      <c r="A34" s="72">
        <v>32</v>
      </c>
      <c r="B34" s="35" t="s">
        <v>74</v>
      </c>
      <c r="C34" s="75">
        <f>[31]Sheet1!$C$3</f>
        <v>9043</v>
      </c>
      <c r="D34" s="74">
        <v>0</v>
      </c>
      <c r="E34" s="74">
        <v>0</v>
      </c>
      <c r="F34" s="75">
        <f>[31]Sheet1!$D$1</f>
        <v>5391</v>
      </c>
      <c r="G34" s="79">
        <f t="shared" si="0"/>
        <v>3652</v>
      </c>
      <c r="H34" s="77">
        <f t="shared" si="1"/>
        <v>59.615171956209224</v>
      </c>
      <c r="I34" s="73" t="s">
        <v>0</v>
      </c>
    </row>
    <row r="35" spans="1:10" ht="37.5">
      <c r="A35" s="72">
        <v>33</v>
      </c>
      <c r="B35" s="35" t="s">
        <v>75</v>
      </c>
      <c r="C35" s="73">
        <v>60000</v>
      </c>
      <c r="D35" s="74">
        <v>0</v>
      </c>
      <c r="E35" s="74">
        <v>0</v>
      </c>
      <c r="F35" s="75">
        <f>[32]Sheet1!$D$1</f>
        <v>17320</v>
      </c>
      <c r="G35" s="79">
        <f>C35-D35+E35-F35</f>
        <v>42680</v>
      </c>
      <c r="H35" s="77">
        <f t="shared" si="1"/>
        <v>28.866666666666667</v>
      </c>
      <c r="I35" s="73" t="s">
        <v>0</v>
      </c>
      <c r="J35" s="58" t="s">
        <v>64</v>
      </c>
    </row>
    <row r="36" spans="1:10" ht="37.5">
      <c r="A36" s="72">
        <v>34</v>
      </c>
      <c r="B36" s="43" t="s">
        <v>76</v>
      </c>
      <c r="C36" s="83">
        <f>[33]Sheet1!$C$3</f>
        <v>1300</v>
      </c>
      <c r="D36" s="74">
        <v>0</v>
      </c>
      <c r="E36" s="74">
        <v>0</v>
      </c>
      <c r="F36" s="83">
        <f>[33]Sheet1!$D$1</f>
        <v>1300</v>
      </c>
      <c r="G36" s="79">
        <f>C36-D36+E36-F36</f>
        <v>0</v>
      </c>
      <c r="H36" s="77">
        <f t="shared" si="1"/>
        <v>100</v>
      </c>
      <c r="I36" s="73" t="s">
        <v>0</v>
      </c>
      <c r="J36" s="58" t="s">
        <v>64</v>
      </c>
    </row>
    <row r="37" spans="1:10" ht="37.5">
      <c r="A37" s="72">
        <v>35</v>
      </c>
      <c r="B37" s="35" t="s">
        <v>77</v>
      </c>
      <c r="C37" s="73">
        <v>85250</v>
      </c>
      <c r="D37" s="74">
        <v>0</v>
      </c>
      <c r="E37" s="74">
        <v>0</v>
      </c>
      <c r="F37" s="75">
        <f>[34]Sheet1!$D$1</f>
        <v>85250</v>
      </c>
      <c r="G37" s="79">
        <f>C37-D37+E37-F37</f>
        <v>0</v>
      </c>
      <c r="H37" s="77">
        <f t="shared" si="1"/>
        <v>100</v>
      </c>
      <c r="I37" s="73" t="s">
        <v>0</v>
      </c>
      <c r="J37" s="58" t="s">
        <v>64</v>
      </c>
    </row>
    <row r="38" spans="1:10" ht="75">
      <c r="A38" s="72">
        <v>36</v>
      </c>
      <c r="B38" s="35" t="s">
        <v>78</v>
      </c>
      <c r="C38" s="73">
        <v>160000</v>
      </c>
      <c r="D38" s="74">
        <v>0</v>
      </c>
      <c r="E38" s="74">
        <v>0</v>
      </c>
      <c r="F38" s="75">
        <f>[35]Sheet1!$D$1</f>
        <v>104696</v>
      </c>
      <c r="G38" s="79">
        <f>C38-D38+E38-F38</f>
        <v>55304</v>
      </c>
      <c r="H38" s="77">
        <f t="shared" si="1"/>
        <v>65.435000000000002</v>
      </c>
      <c r="I38" s="73" t="s">
        <v>0</v>
      </c>
      <c r="J38" s="58" t="s">
        <v>64</v>
      </c>
    </row>
    <row r="39" spans="1:10" ht="37.5">
      <c r="A39" s="72">
        <v>37</v>
      </c>
      <c r="B39" s="35" t="s">
        <v>79</v>
      </c>
      <c r="C39" s="73">
        <v>61000</v>
      </c>
      <c r="D39" s="74">
        <v>0</v>
      </c>
      <c r="E39" s="74">
        <v>0</v>
      </c>
      <c r="F39" s="75">
        <f>[36]Sheet1!$D$1</f>
        <v>0</v>
      </c>
      <c r="G39" s="79">
        <f>C39-D39+E39-F39</f>
        <v>61000</v>
      </c>
      <c r="H39" s="77">
        <f t="shared" si="1"/>
        <v>0</v>
      </c>
      <c r="I39" s="73" t="s">
        <v>0</v>
      </c>
      <c r="J39" s="58" t="s">
        <v>64</v>
      </c>
    </row>
    <row r="40" spans="1:10">
      <c r="A40" s="72">
        <v>38</v>
      </c>
      <c r="B40" s="35"/>
      <c r="C40" s="82"/>
      <c r="D40" s="84"/>
      <c r="E40" s="84"/>
      <c r="F40" s="82"/>
      <c r="G40" s="85"/>
      <c r="H40" s="82"/>
      <c r="I40" s="82"/>
      <c r="J40" s="35"/>
    </row>
    <row r="41" spans="1:10">
      <c r="A41" s="72">
        <v>39</v>
      </c>
      <c r="B41" s="35"/>
      <c r="C41" s="82"/>
      <c r="D41" s="84"/>
      <c r="E41" s="84"/>
      <c r="F41" s="82"/>
      <c r="G41" s="85"/>
      <c r="H41" s="82"/>
      <c r="I41" s="82"/>
      <c r="J41" s="35"/>
    </row>
    <row r="42" spans="1:10">
      <c r="A42" s="72">
        <v>40</v>
      </c>
      <c r="B42" s="35"/>
      <c r="C42" s="82"/>
      <c r="D42" s="84"/>
      <c r="E42" s="84"/>
      <c r="F42" s="82"/>
      <c r="G42" s="85"/>
      <c r="H42" s="82"/>
      <c r="I42" s="82"/>
      <c r="J4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งปม.แผ่นดิน</vt:lpstr>
      <vt:lpstr>งปม.รายได้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lenovo</cp:lastModifiedBy>
  <dcterms:created xsi:type="dcterms:W3CDTF">2022-02-23T02:31:32Z</dcterms:created>
  <dcterms:modified xsi:type="dcterms:W3CDTF">2022-02-23T03:27:52Z</dcterms:modified>
</cp:coreProperties>
</file>